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&lt;Обоснование (код) позиции&gt;
&lt;Примечание&gt;
-------------------------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------------------------------------------
&lt;Примечание&gt;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112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112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91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91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91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91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ценах&gt;
&lt;ЗПМ по позиции на единицу в базисных ценах&gt;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ценах&gt;&lt;Оборудование на единицу в базисных ценах&gt;
&lt;Формула базисной цены единицы&gt;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91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91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<sst xmlns="http://schemas.openxmlformats.org/spreadsheetml/2006/main" count="325" uniqueCount="252">
  <si>
    <t>Заказчик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</si>
  <si>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</si>
  <si>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</si>
  <si>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</si>
  <si>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</si>
  <si>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</si>
  <si>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</si>
  <si>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</si>
  <si>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</si>
  <si>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</si>
  <si>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</si>
  <si>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</si>
  <si>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</si>
  <si>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</si>
  <si>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</si>
  <si>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</si>
  <si>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</si>
  <si>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</si>
  <si>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</si>
  <si>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</si>
  <si>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</si>
  <si>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</si>
  <si>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материалы (оборуд.)</t>
  </si>
  <si>
    <t>ЛОКАЛЬНЫЙ СМЕТНЫЙ РАСЧЕТ №  02-01-02</t>
  </si>
  <si>
    <t>Основание:  ЭМ.С</t>
  </si>
  <si>
    <t>Проверил:____________________________</t>
  </si>
  <si>
    <t xml:space="preserve">                           Раздел 1. Антиобледенение кровли</t>
  </si>
  <si>
    <t>ФЕРм08-02-146-01
-------------------------
Приказ Минстроя РФ от 30.01.14 №31/пр</t>
  </si>
  <si>
    <t xml:space="preserve">Кабель до 35 кВ с креплением накладными скобами, масса 1 м кабеля: до 0,5 кг, 100 м кабеля
НР 81%=95%*0.85 от ФОТ
СП 52%=65%*0.8 от ФОТ
 </t>
  </si>
  <si>
    <t>760,3
113,13</t>
  </si>
  <si>
    <t>585,4
52,79</t>
  </si>
  <si>
    <t xml:space="preserve">61,77 
 </t>
  </si>
  <si>
    <t>55.133 Кабели до 35 кв с креплением накладными скобами: ОЗП=16,45; ЭМ=7,81; ЗПМ=16,45; МАТ=5,53</t>
  </si>
  <si>
    <t>24687
4688</t>
  </si>
  <si>
    <t>11,76
3,91</t>
  </si>
  <si>
    <t>63,5
21,11</t>
  </si>
  <si>
    <t>Цена поставщика</t>
  </si>
  <si>
    <t xml:space="preserve">Саморегулирующийся нагревательный кабель ССТ  30кстм2-т Теплоскат 330/1,18/5.58, м
 </t>
  </si>
  <si>
    <t xml:space="preserve">50,12 
 </t>
  </si>
  <si>
    <t>Материалы; МАТ=5,58</t>
  </si>
  <si>
    <t>ФЕРм08-03-573-04
-------------------------
Приказ Минстроя РФ от 30.01.14 №31/пр</t>
  </si>
  <si>
    <t xml:space="preserve">Шкаф (пульт) управления навесной, высота, ширина и глубина: до 600х600х350 мм, 1 шт.
НР 81%=95%*0.85 от ФОТ
СП 52%=65%*0.8 от ФОТ
 </t>
  </si>
  <si>
    <t>68,25
23,51</t>
  </si>
  <si>
    <t>41,74
3,16</t>
  </si>
  <si>
    <t xml:space="preserve">3 
 </t>
  </si>
  <si>
    <t>55.499 Шкаф (пульт) управления навесной: ОЗП=16,45; ЭМ=7,77; ЗПМ=16,45; МАТ=4,2</t>
  </si>
  <si>
    <t>326
49</t>
  </si>
  <si>
    <t>2,37
0,29</t>
  </si>
  <si>
    <t>604-0021-00034</t>
  </si>
  <si>
    <t xml:space="preserve">Щиты распределительные навесные ЩРН-36, размер корпуса 480x300x125 мм   1394,50/3,83, шт
 </t>
  </si>
  <si>
    <t>Оборудование; МАТ=3,83</t>
  </si>
  <si>
    <t>ФЕРм08-03-575-01
-------------------------
Приказ Минстроя РФ от 30.01.14 №31/пр</t>
  </si>
  <si>
    <t xml:space="preserve">Прибор или аппарат, 1 шт.
НР 81%=95%*0.85 от ФОТ
СП 52%=65%*0.8 от ФОТ
 </t>
  </si>
  <si>
    <t>11,51
11,11</t>
  </si>
  <si>
    <t xml:space="preserve">0,4 
 </t>
  </si>
  <si>
    <t>55.501 Прибор или аппарат: ОЗП=16,45; МАТ=6,03</t>
  </si>
  <si>
    <t xml:space="preserve">Контактор km-3-63-1189/1,18/3,83, шт
 </t>
  </si>
  <si>
    <t xml:space="preserve">264,47 
 </t>
  </si>
  <si>
    <t>604-0020-00012</t>
  </si>
  <si>
    <t xml:space="preserve">Устройство защитного отключения 'IEK' УЗО  ВД1-63 4п 16-40 А, ток утечки 30мА,  1243,78/3,83, шт
 </t>
  </si>
  <si>
    <t>604-0001-00068</t>
  </si>
  <si>
    <t xml:space="preserve">Выключатель автоматический серии ВА 47-29 3Р 50А 111,69/3,83, шт
 </t>
  </si>
  <si>
    <t xml:space="preserve">29,16 
 </t>
  </si>
  <si>
    <t>604-0001-00043</t>
  </si>
  <si>
    <t xml:space="preserve">Выключатель автоматический трехполюсный ВА 47-29 3Р 16-40А 261,06/3,83, шт
 </t>
  </si>
  <si>
    <t xml:space="preserve">68,16 
 </t>
  </si>
  <si>
    <t>ФЕРм11-03-001-01
-------------------------
Приказ Минстроя РФ от 30.01.14 №31/пр</t>
  </si>
  <si>
    <t xml:space="preserve">Приборы, устанавливаемые на металлоконструкциях, щитах и пультах, масса: до 5 кг, 1 шт.
НР 68%=80%*0.85 от ФОТ
СП 48%=60%*0.8 от ФОТ
 </t>
  </si>
  <si>
    <t>6,25
5,16</t>
  </si>
  <si>
    <t xml:space="preserve">1,09 
 </t>
  </si>
  <si>
    <t>58.22 Приборы, устанавливаемые на металлоконструкциях, щитах и пультах: ОЗП=16,45; МАТ=2,9</t>
  </si>
  <si>
    <t>Цена постащика</t>
  </si>
  <si>
    <t xml:space="preserve">Терморегулятор системы антиобледенения двухканальный с датчиком 16009,5/1,18/3,83, шт
 </t>
  </si>
  <si>
    <t xml:space="preserve">3542,4 
 </t>
  </si>
  <si>
    <t>ФЕРм10-08-019-01
-------------------------
Приказ Минстроя РФ от 30.01.14 №31/пр</t>
  </si>
  <si>
    <t xml:space="preserve">Коробка ответвительная на стене, 1 шт.
НР 68%=80%*0.85 от ФОТ
СП 48%=60%*0.8 от ФОТ
 </t>
  </si>
  <si>
    <t>5,29
4,88</t>
  </si>
  <si>
    <t xml:space="preserve">0,41 
 </t>
  </si>
  <si>
    <t>57.429 Коробка ответвительная на стене: ОЗП=16,45; МАТ=4,49</t>
  </si>
  <si>
    <t>Цена поставщика ЭТМ</t>
  </si>
  <si>
    <t xml:space="preserve">Коробка распаячная  КМ412234 56,9/1,18/5.58, шт.
 </t>
  </si>
  <si>
    <t xml:space="preserve">8,64 
 </t>
  </si>
  <si>
    <t>ФЕРм08-02-163-01
-------------------------
Приказ Минстроя РФ от 30.01.14 №31/пр</t>
  </si>
  <si>
    <t xml:space="preserve">Заделка концевая с термоусаживающимися полиэтиленовыми перчатками для 3-4-жильного кабеля с бумажной изоляцией напряжением до 1 кВ, сечение одной жилы: до 35 мм2, 1 шт.
НР 81%=95%*0.85 от ФОТ
СП 52%=65%*0.8 от ФОТ
 </t>
  </si>
  <si>
    <t>14,75
10,58</t>
  </si>
  <si>
    <t xml:space="preserve">4,17 
 </t>
  </si>
  <si>
    <t>55.161 Заделки концевые с термоусаживающимися полиэтиленовыми перчатками: ОЗП=16,45; МАТ=8,31</t>
  </si>
  <si>
    <t>Цена поставщика Термостат</t>
  </si>
  <si>
    <t xml:space="preserve">Комплект ответвления термоусадка (муфты) KMT/R 154,24/1,18/5.58, шт.
 </t>
  </si>
  <si>
    <t xml:space="preserve">23,43 
 </t>
  </si>
  <si>
    <t>ФЕРм08-02-413-13
-------------------------
Приказ Минстроя РФ от 30.01.14 №31/пр</t>
  </si>
  <si>
    <t xml:space="preserve">Провод, количество проводов в резинобитумной трубке: до 6, сечение провода до 6 мм2, 100 м трубок
НР 81%=95%*0.85 от ФОТ
СП 52%=65%*0.8 от ФОТ
 </t>
  </si>
  <si>
    <t>400,26
253,42</t>
  </si>
  <si>
    <t>77,64
4,73</t>
  </si>
  <si>
    <t xml:space="preserve">69,2 
 </t>
  </si>
  <si>
    <t>55.320 Провод в резинобитумных трубках: ОЗП=16,45; ЭМ=9,87; ЗПМ=16,45; МАТ=4,29</t>
  </si>
  <si>
    <t>918
99</t>
  </si>
  <si>
    <t>26,96
0,35</t>
  </si>
  <si>
    <t>32,35
0,42</t>
  </si>
  <si>
    <t>3655
691</t>
  </si>
  <si>
    <t>9,41
3,13</t>
  </si>
  <si>
    <t>ФЕРм08-02-146-02
-------------------------
Приказ Минстроя РФ от 30.01.14 №31/пр</t>
  </si>
  <si>
    <t xml:space="preserve">Кабель до 35 кВ с креплением накладными скобами, масса 1 м кабеля: до 1 кг, 100 м кабеля
НР 81%=95%*0.85 от ФОТ
СП 52%=65%*0.8 от ФОТ
 </t>
  </si>
  <si>
    <t>844,53
128,52</t>
  </si>
  <si>
    <t>653,93
59,13</t>
  </si>
  <si>
    <t xml:space="preserve">62,08 
 </t>
  </si>
  <si>
    <t>156
33</t>
  </si>
  <si>
    <t>13,36
4,38</t>
  </si>
  <si>
    <t>0,4
0,13</t>
  </si>
  <si>
    <t>ФССЦ-103-2402
-------------------------
Приказ Минстроя России от 12.11.14 №703/пр</t>
  </si>
  <si>
    <t xml:space="preserve">Трубы гибкие гофрированные из самозатухающего ПВХ-пластиката легкого типа диаметром 16 мм, м
 </t>
  </si>
  <si>
    <t xml:space="preserve">2,24 
 </t>
  </si>
  <si>
    <t>Трубы гибкие гофрированные из самозатухающего ПВХ-пластиката легкого типа диаметром 16 мм; МАТ=1,347</t>
  </si>
  <si>
    <t>ФССЦ-501-8484
-------------------------
Приказ Минстроя России от 12.11.14 №703/пр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</si>
  <si>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марки: ВВГнг-LS, с числом жил - 3 и сечением 4 мм2, 1000 м
 </t>
  </si>
  <si>
    <t xml:space="preserve">10296,33 
 </t>
  </si>
  <si>
    <t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4 мм2; МАТ=8,648</t>
  </si>
  <si>
    <t>Томкабель</t>
  </si>
  <si>
    <t xml:space="preserve">Кабель контрольный с медными жилами с поливинилхлоридной изоляцией и оболочкой, не распространяющий горение, с низким дымо- и газовыделением марки: КВВГнг-LS, с числом жил - 2 и сечением 1,5 мм2 14200/1,18/5,58, 1000м
 </t>
  </si>
  <si>
    <t xml:space="preserve">2156,61 
 </t>
  </si>
  <si>
    <t xml:space="preserve">Кабель контрольный с медными жилами с поливинилхлоридной изоляцией и оболочкой, не распространяющий горение, с низким дымо- и газовыделением марки: КВВГнг-LS, с числом жил - 3 и сечением 1,5 мм2 18600/1,18/5,58, 1000м
 </t>
  </si>
  <si>
    <t xml:space="preserve">2824,86 
 </t>
  </si>
  <si>
    <t>ФССЦ-501-8510
-------------------------
Приказ Минстроя России от 12.11.14 №703/пр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</si>
  <si>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марки: ВВГнг-LS, с числом жил - 5 и сечением 10 мм2, 1000 м
 </t>
  </si>
  <si>
    <t xml:space="preserve">45607,75 
 </t>
  </si>
  <si>
    <t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- 5 и сечением 10 мм2; МАТ=7,078</t>
  </si>
  <si>
    <t>ФЕРм08-02-407-01
-------------------------
Приказ Минстроя РФ от 30.01.14 №31/пр</t>
  </si>
  <si>
    <t xml:space="preserve">Труба стальная по установленным конструкциям, по стенам с креплением скобами, диаметр: до 25 мм, 100 м
НР 81%=95%*0.85 от ФОТ
СП 52%=65%*0.8 от ФОТ
 </t>
  </si>
  <si>
    <t>595,86
231,62</t>
  </si>
  <si>
    <t>136,2
5,13</t>
  </si>
  <si>
    <t xml:space="preserve">228,04 
 </t>
  </si>
  <si>
    <t>55.303 Труба стальная по установленным конструкциям, по стенам с креплением скобами: ОЗП=16,45; ЭМ=9,06; ЗПМ=16,45; МАТ=7,44</t>
  </si>
  <si>
    <t>24,64
0,38</t>
  </si>
  <si>
    <t>0,99
0,02</t>
  </si>
  <si>
    <t>ФЕРм08-02-412-03
-------------------------
Приказ Минстроя РФ от 30.01.14 №31/пр</t>
  </si>
  <si>
    <t xml:space="preserve">Затягивание провода в проложенные трубы и металлические рукава первого одножильного или многожильного в общей оплетке, суммарное сечение: до 16 мм2, 100 м
НР 81%=95%*0.85 от ФОТ
СП 52%=65%*0.8 от ФОТ
 </t>
  </si>
  <si>
    <t>88,47
59,13</t>
  </si>
  <si>
    <t>6,65
0,41</t>
  </si>
  <si>
    <t xml:space="preserve">22,69 
 </t>
  </si>
  <si>
    <t>55.318 Затягивание провода в проложенные трубы и металлические рукава первого одножильного или многожильного в общей оплетке: ОЗП=16,45; ЭМ=9,88; ЗПМ=16,45; МАТ=8,32</t>
  </si>
  <si>
    <t>6,29
0,03</t>
  </si>
  <si>
    <t>ФЕРм08-02-412-10
-------------------------
Приказ Минстроя РФ от 30.01.14 №31/пр</t>
  </si>
  <si>
    <t xml:space="preserve">Затягивание провода в проложенные трубы и металлические рукава каждого последующего одножильного или многожильного в общей оплетке, суммарное сечение: до 35 мм2, 100 м
НР 81%=95%*0.85 от ФОТ
СП 52%=65%*0.8 от ФОТ
 </t>
  </si>
  <si>
    <t>72,21
42,21</t>
  </si>
  <si>
    <t>13,31
0,81</t>
  </si>
  <si>
    <t xml:space="preserve">16,69 
 </t>
  </si>
  <si>
    <t>55.319 Затягивание провода в проложенные трубы и металлические рукава каждого последующего одножильного или многожильного в общей оплетке: ОЗП=16,45; ЭМ=9,88; ЗПМ=16,45; МАТ=4,66</t>
  </si>
  <si>
    <t>4,49
0,06</t>
  </si>
  <si>
    <t>0,72
0,01</t>
  </si>
  <si>
    <t>ФССЦ-103-0005
-------------------------
Приказ Минстроя России от 12.11.14 №703/пр</t>
  </si>
  <si>
    <t xml:space="preserve">Трубы стальные сварные водогазопроводные с резьбой черные легкие (неоцинкованные) диаметр условного прохода: 40 мм, толщина стенки 3 мм, м
 </t>
  </si>
  <si>
    <t xml:space="preserve">24,35 
 </t>
  </si>
  <si>
    <t>Трубы стальные сварные водогазопроводные с резьбой черные легкие (неоцинкованные) диаметр условного прохода:40 мм, толщина стенки 3 мм; МАТ=4,623</t>
  </si>
  <si>
    <t>ФССЦ-509-0801
-------------------------
Приказ Минстроя России от 12.11.14 №703/пр</t>
  </si>
  <si>
    <t xml:space="preserve">Трос стальной, м
 </t>
  </si>
  <si>
    <t xml:space="preserve">12,03 
 </t>
  </si>
  <si>
    <t>Трос стальной; МАТ=6,918</t>
  </si>
  <si>
    <t>509-0103</t>
  </si>
  <si>
    <t xml:space="preserve">Скобы и накладки для крепления кабеля, 10 шт.
 </t>
  </si>
  <si>
    <t xml:space="preserve">38,6 
 </t>
  </si>
  <si>
    <t>Скобы и накладки для крепления кабеля; МАТ=1,344</t>
  </si>
  <si>
    <t>Итого прямые затраты по разделу в ценах 2001г.</t>
  </si>
  <si>
    <t>3791
338</t>
  </si>
  <si>
    <t>139,33
25,11</t>
  </si>
  <si>
    <t>Итого прямые затраты по разделу с учетом индексов, в текущих ценах</t>
  </si>
  <si>
    <t>29807
5560</t>
  </si>
  <si>
    <t>Накладные расходы</t>
  </si>
  <si>
    <t>Сметная прибыль</t>
  </si>
  <si>
    <t>Итоги по разделу 1 Антиобледенение кровли :</t>
  </si>
  <si>
    <t xml:space="preserve">  Итого Монтажные работы</t>
  </si>
  <si>
    <t xml:space="preserve">  Итого Оборудование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</si>
  <si>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</si>
  <si>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</si>
  <si>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</si>
  <si>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</si>
  <si>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</si>
  <si>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Оборудование</t>
  </si>
  <si>
    <t xml:space="preserve">      Накладные расходы</t>
  </si>
  <si>
    <t xml:space="preserve">      Сметная прибыль</t>
  </si>
  <si>
    <t xml:space="preserve">  Итого по разделу 1 Антиобледенение кровли</t>
  </si>
  <si>
    <t xml:space="preserve">                           Раздел 2. Молниезащита</t>
  </si>
  <si>
    <t>ФЕРм08-02-472-09
-------------------------
Приказ Минстроя РФ от 30.01.14 №31/пр</t>
  </si>
  <si>
    <t xml:space="preserve">Проводник заземляющий открыто по строительным основаниям: из круглой стали диаметром 12 мм, 100 м
НР 81%=95%*0.85 от ФОТ
СП 52%=65%*0.8 от ФОТ
 </t>
  </si>
  <si>
    <t>374,79
200,22</t>
  </si>
  <si>
    <t>69,36
2,57</t>
  </si>
  <si>
    <t xml:space="preserve">105,21 
 </t>
  </si>
  <si>
    <t>55.350 Проводник заземляющий открыто по строительным основаниям: ОЗП=16,45; ЭМ=8,32; ЗПМ=16,45; МАТ=3,63</t>
  </si>
  <si>
    <t>1672
115</t>
  </si>
  <si>
    <t>21,3
0,19</t>
  </si>
  <si>
    <t>61,77
0,55</t>
  </si>
  <si>
    <t>ФССЦ-101-1616
-------------------------
Приказ Минстроя России от 12.11.14 №703/пр</t>
  </si>
  <si>
    <t xml:space="preserve">Сталь круглая углеродистая обыкновенного качества марки ВСт3пс5-1 диаметром: 10 мм, т
 </t>
  </si>
  <si>
    <t>0,17864
0,616*290/1000</t>
  </si>
  <si>
    <t xml:space="preserve">5230,01 
 </t>
  </si>
  <si>
    <t>Сталь углеродистая обыкновенного качества, марка стали ВСт3пс5-1, круглая диаметром 10 мм; МАТ=3,593</t>
  </si>
  <si>
    <t>ФЕРм08-02-472-02
-------------------------
Приказ Минстроя РФ от 30.01.14 №31/пр</t>
  </si>
  <si>
    <t xml:space="preserve">Заземлитель горизонтальный из стали: полосовой сечением 160 мм2, 100 м
НР 81%=95%*0.85 от ФОТ
СП 52%=65%*0.8 от ФОТ
 </t>
  </si>
  <si>
    <t>271,78
156,04</t>
  </si>
  <si>
    <t>74,15
2,97</t>
  </si>
  <si>
    <t xml:space="preserve">41,59 
 </t>
  </si>
  <si>
    <t>55.348 Заземлитель горизонтальный из стали: ОЗП=16,45; ЭМ=8,36; ЗПМ=16,45; МАТ=3,63</t>
  </si>
  <si>
    <t>744
66</t>
  </si>
  <si>
    <t>16,6
0,22</t>
  </si>
  <si>
    <t>19,92
0,26</t>
  </si>
  <si>
    <t>ФССЦ-101-1889
-------------------------
Приказ Минстроя России от 12.11.14 №703/пр</t>
  </si>
  <si>
    <t xml:space="preserve">Сталь полосовая: 40х4 мм, кипящая, т
 </t>
  </si>
  <si>
    <t>0,1512
1,26*120/1000</t>
  </si>
  <si>
    <t xml:space="preserve">6200 
 </t>
  </si>
  <si>
    <t>Сталь полосовая: 40х4 мм, кипящая; МАТ=5,065</t>
  </si>
  <si>
    <t xml:space="preserve">Зажимы ДКС 139/1,18/5.58, шт
 </t>
  </si>
  <si>
    <t xml:space="preserve">21,11 
 </t>
  </si>
  <si>
    <t>227
16</t>
  </si>
  <si>
    <t>4,44
0,07</t>
  </si>
  <si>
    <t>ФЕРм08-02-407-03
-------------------------
Приказ Минстроя РФ от 30.01.14 №31/пр</t>
  </si>
  <si>
    <t xml:space="preserve">Труба стальная по установленным конструкциям, по стенам с креплением скобами, диаметр: до 50 мм, 100 м
НР 81%=95%*0.85 от ФОТ
СП 52%=65%*0.8 от ФОТ
 </t>
  </si>
  <si>
    <t>772,03
356,45</t>
  </si>
  <si>
    <t>203,56
9,86</t>
  </si>
  <si>
    <t xml:space="preserve">212,02 
 </t>
  </si>
  <si>
    <t>37,92
0,73</t>
  </si>
  <si>
    <t>1,14
0,02</t>
  </si>
  <si>
    <t>ФССЦ-103-0003
-------------------------
Приказ Минстроя России от 12.11.14 №703/пр</t>
  </si>
  <si>
    <t xml:space="preserve">Трубы стальные сварные водогазопроводные с резьбой черные легкие (неоцинкованные) диаметр условного прохода: 25 мм, толщина стенки 2,8 мм, м
 </t>
  </si>
  <si>
    <t xml:space="preserve">15,33 
 </t>
  </si>
  <si>
    <t>Трубы стальные сварные водогазопроводные с резьбой черные легкие (неоцинкованные) диаметр условного прохода:25 мм, толщина стенки 2,8 мм; МАТ=2,669</t>
  </si>
  <si>
    <t>ФССЦ-103-0006
-------------------------
Приказ Минстроя России от 12.11.14 №703/пр</t>
  </si>
  <si>
    <t xml:space="preserve">Трубы стальные сварные водогазопроводные с резьбой черные легкие (неоцинкованные) диаметр условного прохода: 50 мм, толщина стенки 3 мм, м
 </t>
  </si>
  <si>
    <t xml:space="preserve">28,05 
 </t>
  </si>
  <si>
    <t>Трубы стальные сварные водогазопроводные с резьбой черные легкие (неоцинкованные) диаметр условного прохода:50 мм, толщина стенки 3 мм; МАТ=5,086</t>
  </si>
  <si>
    <t>321
12</t>
  </si>
  <si>
    <t>87,27
0,9</t>
  </si>
  <si>
    <t>2697
197</t>
  </si>
  <si>
    <t>Итоги по разделу 2 Молниезащита :</t>
  </si>
  <si>
    <t xml:space="preserve">  Электромонтажные работы на других объектах</t>
  </si>
  <si>
    <t xml:space="preserve">  Материалы для монтажных работ</t>
  </si>
  <si>
    <t xml:space="preserve">  Итого по разделу 2 Молниезащита</t>
  </si>
  <si>
    <t>Итого прямые затраты по смете в ценах 2001г.</t>
  </si>
  <si>
    <t>4112
350</t>
  </si>
  <si>
    <t>226,6
26,01</t>
  </si>
  <si>
    <t>Итого прямые затраты по смете с учетом индексов, в текущих ценах</t>
  </si>
  <si>
    <t>32504
5757</t>
  </si>
  <si>
    <t>Итоги по смете:</t>
  </si>
  <si>
    <t xml:space="preserve"> Капитальный ремонт многоквартирного дома, расположенного по адресу: г.Томск, ул.Калужская,17</t>
  </si>
  <si>
    <t xml:space="preserve">на   Силовое электрооборудование  </t>
  </si>
  <si>
    <t>Составлен(а) в текущих ценах по состоянию на 2кв.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</si>
  <si>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</si>
  <si>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</si>
  <si>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Составил:____________________________</t>
  </si>
  <si>
    <t xml:space="preserve">  Итого по смете</t>
  </si>
  <si>
    <t>Непредвиденные затраты 2%</t>
  </si>
  <si>
    <t>НДС 18%</t>
  </si>
  <si>
    <t>Всего по смете:</t>
  </si>
  <si>
    <t>Понижающий коэффициент к=0.949558171454756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</si>
</sst>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1">
      <alignment horizont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" fillId="0" borderId="1">
      <alignment horizontal="center"/>
      <protection/>
    </xf>
    <xf numFmtId="0" fontId="29" fillId="27" borderId="3" applyNumberFormat="0" applyAlignment="0" applyProtection="0"/>
    <xf numFmtId="0" fontId="30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35" fillId="28" borderId="8" applyNumberFormat="0" applyAlignment="0" applyProtection="0"/>
    <xf numFmtId="0" fontId="2" fillId="0" borderId="1">
      <alignment horizontal="center" wrapText="1"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1">
      <alignment horizontal="center"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/>
      <protection/>
    </xf>
    <xf numFmtId="0" fontId="40" fillId="0" borderId="10" applyNumberFormat="0" applyFill="0" applyAlignment="0" applyProtection="0"/>
    <xf numFmtId="0" fontId="2" fillId="0" borderId="0">
      <alignment horizontal="center" vertical="top" wrapText="1"/>
      <protection/>
    </xf>
    <xf numFmtId="0" fontId="41" fillId="0" borderId="0" applyNumberFormat="0" applyFill="0" applyBorder="0" applyAlignment="0" applyProtection="0"/>
    <xf numFmtId="0" fontId="2" fillId="0" borderId="0" applyProtection="0">
      <alignment horizontal="right" indent="1"/>
    </xf>
    <xf numFmtId="0" fontId="2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54" applyFont="1" applyBorder="1" applyAlignment="1">
      <alignment horizontal="center" wrapText="1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/>
    </xf>
    <xf numFmtId="0" fontId="6" fillId="0" borderId="0" xfId="68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68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68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1" xfId="68" applyFont="1" applyBorder="1" applyAlignment="1">
      <alignment horizontal="left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6" fillId="0" borderId="0" xfId="68" applyFont="1" applyAlignment="1" quotePrefix="1">
      <alignment horizontal="left"/>
    </xf>
    <xf numFmtId="0" fontId="6" fillId="0" borderId="0" xfId="69" applyFont="1" applyAlignment="1">
      <alignment horizontal="left"/>
      <protection/>
    </xf>
    <xf numFmtId="0" fontId="6" fillId="0" borderId="0" xfId="0" applyFont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 quotePrefix="1">
      <alignment horizontal="right" vertical="top"/>
    </xf>
    <xf numFmtId="0" fontId="6" fillId="0" borderId="0" xfId="0" applyFont="1" applyFill="1" applyBorder="1" applyAlignment="1" quotePrefix="1">
      <alignment horizontal="left" vertical="top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 quotePrefix="1">
      <alignment horizontal="left" vertical="top"/>
    </xf>
    <xf numFmtId="0" fontId="6" fillId="0" borderId="1" xfId="0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54" applyFont="1" applyBorder="1" applyAlignment="1">
      <alignment horizontal="center" wrapText="1"/>
      <protection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 vertical="top" wrapText="1"/>
    </xf>
    <xf numFmtId="0" fontId="6" fillId="0" borderId="1" xfId="52" applyFont="1" applyBorder="1" applyAlignment="1">
      <alignment horizontal="right" vertical="top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72" applyFont="1" applyAlignment="1">
      <alignment horizontal="left" vertical="top"/>
      <protection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6" fillId="0" borderId="14" xfId="52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52" applyFont="1" applyBorder="1" applyAlignment="1">
      <alignment horizontal="right" vertical="top" wrapText="1"/>
      <protection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right" vertical="top" wrapText="1"/>
    </xf>
    <xf numFmtId="0" fontId="6" fillId="0" borderId="14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/>
    </xf>
    <xf numFmtId="1" fontId="6" fillId="0" borderId="14" xfId="52" applyNumberFormat="1" applyFont="1" applyBorder="1" applyAlignment="1">
      <alignment horizontal="right" vertical="top" wrapText="1"/>
      <protection/>
    </xf>
    <xf numFmtId="2" fontId="6" fillId="0" borderId="14" xfId="0" applyNumberFormat="1" applyFont="1" applyBorder="1" applyAlignment="1">
      <alignment horizontal="right" vertical="top" wrapText="1"/>
    </xf>
    <xf numFmtId="0" fontId="6" fillId="0" borderId="15" xfId="0" applyFont="1" applyBorder="1" applyAlignment="1" quotePrefix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68" applyFont="1" applyAlignment="1">
      <alignment horizontal="left"/>
    </xf>
    <xf numFmtId="0" fontId="6" fillId="0" borderId="11" xfId="68" applyFont="1" applyBorder="1">
      <alignment horizontal="right" indent="1"/>
    </xf>
    <xf numFmtId="0" fontId="6" fillId="0" borderId="12" xfId="68" applyFont="1" applyBorder="1">
      <alignment horizontal="right" indent="1"/>
    </xf>
    <xf numFmtId="0" fontId="6" fillId="0" borderId="18" xfId="0" applyFont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52" applyFont="1" applyBorder="1" applyAlignment="1">
      <alignment horizontal="left" vertical="top" wrapText="1"/>
      <protection/>
    </xf>
    <xf numFmtId="0" fontId="7" fillId="0" borderId="1" xfId="52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horizontal="left" vertical="top" wrapText="1"/>
    </xf>
    <xf numFmtId="0" fontId="6" fillId="0" borderId="14" xfId="52" applyFont="1" applyBorder="1" applyAlignment="1">
      <alignment horizontal="left" vertical="top" wrapText="1"/>
      <protection/>
    </xf>
    <xf numFmtId="0" fontId="6" fillId="0" borderId="12" xfId="52" applyFont="1" applyBorder="1" applyAlignment="1">
      <alignment horizontal="left" vertical="top" wrapText="1"/>
      <protection/>
    </xf>
    <xf numFmtId="0" fontId="7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2" fontId="6" fillId="0" borderId="0" xfId="0" applyNumberFormat="1" applyFont="1" applyAlignment="1">
      <alignment wrapText="1"/>
    </xf>
    <xf numFmtId="2" fontId="6" fillId="0" borderId="14" xfId="52" applyNumberFormat="1" applyFont="1" applyBorder="1" applyAlignment="1">
      <alignment horizontal="right" vertical="top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showGridLines="0" tabSelected="1" zoomScale="124" zoomScaleNormal="124" zoomScalePageLayoutView="0" workbookViewId="0" topLeftCell="A1">
      <selection activeCell="H21" sqref="H21"/>
    </sheetView>
  </sheetViews>
  <sheetFormatPr defaultColWidth="9.00390625" defaultRowHeight="12.75"/>
  <cols>
    <col min="1" max="1" width="3.375" style="5" customWidth="1"/>
    <col min="2" max="2" width="14.875" style="5" customWidth="1"/>
    <col min="3" max="3" width="28.875" style="5" customWidth="1"/>
    <col min="4" max="4" width="6.875" style="5" customWidth="1"/>
    <col min="5" max="5" width="10.625" style="6" customWidth="1"/>
    <col min="6" max="6" width="9.625" style="6" customWidth="1"/>
    <col min="7" max="7" width="8.875" style="6" customWidth="1"/>
    <col min="8" max="8" width="20.25390625" style="6" customWidth="1"/>
    <col min="9" max="9" width="8.375" style="6" customWidth="1"/>
    <col min="10" max="10" width="8.125" style="6" customWidth="1"/>
    <col min="11" max="11" width="8.75390625" style="6" customWidth="1"/>
    <col min="12" max="12" width="8.625" style="6" customWidth="1"/>
    <col min="13" max="13" width="6.875" style="6" customWidth="1"/>
    <col min="14" max="14" width="6.25390625" style="2" customWidth="1"/>
    <col min="15" max="15" width="9.125" style="2" customWidth="1"/>
    <col min="16" max="16" width="19.75390625" style="2" customWidth="1"/>
    <col min="17" max="16384" width="9.125" style="2" customWidth="1"/>
  </cols>
  <sheetData>
    <row r="1" spans="1:13" s="1" customFormat="1" ht="12">
      <c r="A1" s="7"/>
      <c r="B1" s="8"/>
      <c r="C1" s="7"/>
      <c r="E1" s="9"/>
      <c r="F1" s="10" t="s">
        <v>241</v>
      </c>
      <c r="G1" s="9"/>
      <c r="H1" s="11"/>
      <c r="I1" s="7"/>
      <c r="J1" s="7"/>
      <c r="K1" s="7"/>
      <c r="L1" s="7"/>
      <c r="M1" s="7"/>
    </row>
    <row r="2" spans="1:13" s="1" customFormat="1" ht="12">
      <c r="A2" s="12" t="s">
        <v>5</v>
      </c>
      <c r="B2" s="8"/>
      <c r="D2" s="11"/>
      <c r="F2" s="13" t="s">
        <v>1</v>
      </c>
      <c r="G2" s="13"/>
      <c r="I2" s="14"/>
      <c r="J2" s="12"/>
      <c r="K2" s="12" t="s">
        <v>6</v>
      </c>
      <c r="L2" s="12"/>
      <c r="M2" s="7"/>
    </row>
    <row r="3" spans="1:13" s="1" customFormat="1" ht="12">
      <c r="A3" s="12" t="s">
        <v>7</v>
      </c>
      <c r="E3" s="7"/>
      <c r="F3" s="7"/>
      <c r="G3" s="7"/>
      <c r="H3" s="7"/>
      <c r="I3" s="7"/>
      <c r="J3" s="12"/>
      <c r="K3" s="12" t="s">
        <v>0</v>
      </c>
      <c r="L3" s="12"/>
      <c r="M3" s="7"/>
    </row>
    <row r="4" spans="1:13" s="1" customFormat="1" ht="12">
      <c r="A4" s="7"/>
      <c r="B4" s="7"/>
      <c r="C4" s="7"/>
      <c r="F4" s="15" t="s">
        <v>23</v>
      </c>
      <c r="G4" s="7"/>
      <c r="I4" s="7"/>
      <c r="J4" s="7"/>
      <c r="K4" s="7"/>
      <c r="L4" s="7"/>
      <c r="M4" s="7"/>
    </row>
    <row r="5" spans="1:13" s="1" customFormat="1" ht="12">
      <c r="A5" s="7"/>
      <c r="B5" s="7"/>
      <c r="C5" s="7"/>
      <c r="F5" s="7" t="s">
        <v>2</v>
      </c>
      <c r="G5" s="7"/>
      <c r="I5" s="7"/>
      <c r="J5" s="7"/>
      <c r="K5" s="7"/>
      <c r="L5" s="7"/>
      <c r="M5" s="7"/>
    </row>
    <row r="6" spans="1:13" s="1" customFormat="1" ht="12">
      <c r="A6" s="7"/>
      <c r="B6" s="7"/>
      <c r="C6" s="7"/>
      <c r="E6" s="7"/>
      <c r="F6" s="7"/>
      <c r="G6" s="7"/>
      <c r="H6" s="7"/>
      <c r="I6" s="7"/>
      <c r="J6" s="7"/>
      <c r="K6" s="7"/>
      <c r="L6" s="7"/>
      <c r="M6" s="7"/>
    </row>
    <row r="7" spans="1:13" s="1" customFormat="1" ht="12">
      <c r="A7" s="7"/>
      <c r="B7" s="7"/>
      <c r="C7" s="16"/>
      <c r="D7" s="17" t="s">
        <v>242</v>
      </c>
      <c r="E7" s="18"/>
      <c r="F7" s="18"/>
      <c r="G7" s="18"/>
      <c r="H7" s="18"/>
      <c r="I7" s="14"/>
      <c r="J7" s="14"/>
      <c r="K7" s="14"/>
      <c r="L7" s="14"/>
      <c r="M7" s="7"/>
    </row>
    <row r="8" spans="1:13" s="1" customFormat="1" ht="12">
      <c r="A8" s="7"/>
      <c r="B8" s="7"/>
      <c r="C8" s="7"/>
      <c r="D8" s="19" t="s">
        <v>20</v>
      </c>
      <c r="E8" s="13"/>
      <c r="F8" s="13"/>
      <c r="G8" s="13"/>
      <c r="I8" s="14"/>
      <c r="J8" s="14"/>
      <c r="K8" s="14"/>
      <c r="L8" s="14"/>
      <c r="M8" s="7"/>
    </row>
    <row r="9" spans="1:13" s="1" customFormat="1" ht="7.5" customHeight="1">
      <c r="A9" s="20"/>
      <c r="B9" s="20"/>
      <c r="C9" s="7"/>
      <c r="E9" s="7"/>
      <c r="F9" s="7"/>
      <c r="G9" s="7"/>
      <c r="H9" s="7"/>
      <c r="I9" s="7"/>
      <c r="J9" s="7"/>
      <c r="M9" s="7"/>
    </row>
    <row r="10" spans="1:14" ht="12">
      <c r="A10" s="60" t="s">
        <v>24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0" ht="12">
      <c r="A11" s="21" t="s">
        <v>10</v>
      </c>
      <c r="B11" s="22"/>
      <c r="C11" s="61">
        <v>415464.52</v>
      </c>
      <c r="D11" s="61"/>
      <c r="E11" s="61"/>
      <c r="F11" s="12" t="s">
        <v>9</v>
      </c>
      <c r="G11" s="23"/>
      <c r="H11" s="23"/>
      <c r="I11" s="23"/>
      <c r="J11" s="23"/>
    </row>
    <row r="12" spans="1:10" ht="12">
      <c r="A12" s="21" t="s">
        <v>19</v>
      </c>
      <c r="B12" s="22"/>
      <c r="C12" s="24"/>
      <c r="D12" s="62">
        <v>41289</v>
      </c>
      <c r="E12" s="62"/>
      <c r="F12" s="12" t="s">
        <v>9</v>
      </c>
      <c r="G12" s="23"/>
      <c r="H12" s="23"/>
      <c r="I12" s="23"/>
      <c r="J12" s="23"/>
    </row>
    <row r="13" spans="1:10" ht="12">
      <c r="A13" s="21" t="s">
        <v>243</v>
      </c>
      <c r="B13" s="2"/>
      <c r="C13" s="25"/>
      <c r="D13" s="26"/>
      <c r="E13" s="27"/>
      <c r="F13" s="28"/>
      <c r="G13" s="29"/>
      <c r="H13" s="29"/>
      <c r="I13" s="23"/>
      <c r="J13" s="23"/>
    </row>
    <row r="14" spans="1:14" ht="11.25" customHeight="1">
      <c r="A14" s="7"/>
      <c r="B14" s="12"/>
      <c r="C14" s="12"/>
      <c r="D14" s="7"/>
      <c r="E14" s="23"/>
      <c r="F14" s="23"/>
      <c r="G14" s="23"/>
      <c r="H14" s="24"/>
      <c r="I14" s="23"/>
      <c r="J14" s="23"/>
      <c r="K14" s="23"/>
      <c r="L14" s="23"/>
      <c r="M14" s="23"/>
      <c r="N14" s="2" t="s">
        <v>9</v>
      </c>
    </row>
    <row r="15" spans="1:14" ht="12.75" customHeight="1">
      <c r="A15" s="58" t="s">
        <v>3</v>
      </c>
      <c r="B15" s="58" t="s">
        <v>16</v>
      </c>
      <c r="C15" s="56" t="s">
        <v>21</v>
      </c>
      <c r="D15" s="56" t="s">
        <v>17</v>
      </c>
      <c r="E15" s="67" t="s">
        <v>244</v>
      </c>
      <c r="F15" s="68"/>
      <c r="G15" s="69"/>
      <c r="H15" s="56" t="s">
        <v>4</v>
      </c>
      <c r="I15" s="67" t="s">
        <v>245</v>
      </c>
      <c r="J15" s="73"/>
      <c r="K15" s="73"/>
      <c r="L15" s="64"/>
      <c r="M15" s="63" t="s">
        <v>18</v>
      </c>
      <c r="N15" s="64"/>
    </row>
    <row r="16" spans="1:14" s="3" customFormat="1" ht="38.25" customHeight="1">
      <c r="A16" s="59"/>
      <c r="B16" s="59"/>
      <c r="C16" s="59"/>
      <c r="D16" s="59"/>
      <c r="E16" s="70"/>
      <c r="F16" s="71"/>
      <c r="G16" s="72"/>
      <c r="H16" s="59"/>
      <c r="I16" s="65"/>
      <c r="J16" s="74"/>
      <c r="K16" s="74"/>
      <c r="L16" s="66"/>
      <c r="M16" s="65"/>
      <c r="N16" s="66"/>
    </row>
    <row r="17" spans="1:14" s="3" customFormat="1" ht="12.75" customHeight="1">
      <c r="A17" s="59"/>
      <c r="B17" s="59"/>
      <c r="C17" s="59"/>
      <c r="D17" s="59"/>
      <c r="E17" s="30" t="s">
        <v>12</v>
      </c>
      <c r="F17" s="30" t="s">
        <v>14</v>
      </c>
      <c r="G17" s="56" t="s">
        <v>22</v>
      </c>
      <c r="H17" s="59"/>
      <c r="I17" s="56" t="s">
        <v>12</v>
      </c>
      <c r="J17" s="56" t="s">
        <v>15</v>
      </c>
      <c r="K17" s="30" t="s">
        <v>14</v>
      </c>
      <c r="L17" s="56" t="s">
        <v>22</v>
      </c>
      <c r="M17" s="58" t="s">
        <v>8</v>
      </c>
      <c r="N17" s="56" t="s">
        <v>12</v>
      </c>
    </row>
    <row r="18" spans="1:14" s="3" customFormat="1" ht="11.25" customHeight="1">
      <c r="A18" s="57"/>
      <c r="B18" s="57"/>
      <c r="C18" s="57"/>
      <c r="D18" s="57"/>
      <c r="E18" s="31" t="s">
        <v>11</v>
      </c>
      <c r="F18" s="30" t="s">
        <v>13</v>
      </c>
      <c r="G18" s="57"/>
      <c r="H18" s="57"/>
      <c r="I18" s="57"/>
      <c r="J18" s="57"/>
      <c r="K18" s="30" t="s">
        <v>13</v>
      </c>
      <c r="L18" s="57"/>
      <c r="M18" s="57"/>
      <c r="N18" s="57"/>
    </row>
    <row r="19" spans="1:20" ht="12">
      <c r="A19" s="32">
        <v>1</v>
      </c>
      <c r="B19" s="32">
        <v>2</v>
      </c>
      <c r="C19" s="32">
        <v>3</v>
      </c>
      <c r="D19" s="32">
        <v>4</v>
      </c>
      <c r="E19" s="32">
        <v>5</v>
      </c>
      <c r="F19" s="32">
        <v>6</v>
      </c>
      <c r="G19" s="32">
        <v>7</v>
      </c>
      <c r="H19" s="32">
        <v>8</v>
      </c>
      <c r="I19" s="32">
        <v>9</v>
      </c>
      <c r="J19" s="32">
        <v>10</v>
      </c>
      <c r="K19" s="32">
        <v>11</v>
      </c>
      <c r="L19" s="32">
        <v>12</v>
      </c>
      <c r="M19" s="32">
        <v>13</v>
      </c>
      <c r="N19" s="32">
        <v>14</v>
      </c>
      <c r="O19" s="4"/>
      <c r="P19" s="4"/>
      <c r="Q19" s="4"/>
      <c r="R19" s="4"/>
      <c r="S19" s="4"/>
      <c r="T19" s="4"/>
    </row>
    <row r="20" spans="1:14" ht="17.25" customHeight="1">
      <c r="A20" s="75" t="s">
        <v>26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60">
      <c r="A21" s="33">
        <v>1</v>
      </c>
      <c r="B21" s="34" t="s">
        <v>27</v>
      </c>
      <c r="C21" s="34" t="s">
        <v>28</v>
      </c>
      <c r="D21" s="33">
        <v>5.4</v>
      </c>
      <c r="E21" s="35" t="s">
        <v>29</v>
      </c>
      <c r="F21" s="35" t="s">
        <v>30</v>
      </c>
      <c r="G21" s="35" t="s">
        <v>31</v>
      </c>
      <c r="H21" s="36" t="s">
        <v>32</v>
      </c>
      <c r="I21" s="37">
        <v>36585</v>
      </c>
      <c r="J21" s="35">
        <v>10051</v>
      </c>
      <c r="K21" s="35" t="s">
        <v>33</v>
      </c>
      <c r="L21" s="35" t="str">
        <f>IF(5.4*61.77=0," ",TEXT(,ROUND((5.4*61.77*5.53),2)))</f>
        <v>1844.58</v>
      </c>
      <c r="M21" s="35" t="s">
        <v>34</v>
      </c>
      <c r="N21" s="35" t="s">
        <v>35</v>
      </c>
    </row>
    <row r="22" spans="1:14" ht="36">
      <c r="A22" s="33">
        <v>2</v>
      </c>
      <c r="B22" s="34" t="s">
        <v>36</v>
      </c>
      <c r="C22" s="34" t="s">
        <v>37</v>
      </c>
      <c r="D22" s="33">
        <v>540</v>
      </c>
      <c r="E22" s="35">
        <v>50.12</v>
      </c>
      <c r="F22" s="35"/>
      <c r="G22" s="35" t="s">
        <v>38</v>
      </c>
      <c r="H22" s="36" t="s">
        <v>39</v>
      </c>
      <c r="I22" s="37">
        <v>151023</v>
      </c>
      <c r="J22" s="35"/>
      <c r="K22" s="35"/>
      <c r="L22" s="35" t="str">
        <f>IF(540*50.12=0," ",TEXT(,ROUND((540*50.12*5.58),2)))</f>
        <v>151021.58</v>
      </c>
      <c r="M22" s="35"/>
      <c r="N22" s="35"/>
    </row>
    <row r="23" spans="1:14" ht="60">
      <c r="A23" s="33">
        <v>3</v>
      </c>
      <c r="B23" s="34" t="s">
        <v>40</v>
      </c>
      <c r="C23" s="34" t="s">
        <v>41</v>
      </c>
      <c r="D23" s="33">
        <v>1</v>
      </c>
      <c r="E23" s="35" t="s">
        <v>42</v>
      </c>
      <c r="F23" s="35" t="s">
        <v>43</v>
      </c>
      <c r="G23" s="35" t="s">
        <v>44</v>
      </c>
      <c r="H23" s="36" t="s">
        <v>45</v>
      </c>
      <c r="I23" s="37">
        <v>729</v>
      </c>
      <c r="J23" s="35">
        <v>395</v>
      </c>
      <c r="K23" s="35" t="s">
        <v>46</v>
      </c>
      <c r="L23" s="35" t="str">
        <f>IF(1*3=0," ",TEXT(,ROUND((1*3*4.2),2)))</f>
        <v>12.6</v>
      </c>
      <c r="M23" s="35" t="s">
        <v>47</v>
      </c>
      <c r="N23" s="35" t="s">
        <v>47</v>
      </c>
    </row>
    <row r="24" spans="1:14" ht="36">
      <c r="A24" s="33">
        <v>4</v>
      </c>
      <c r="B24" s="34" t="s">
        <v>48</v>
      </c>
      <c r="C24" s="34" t="s">
        <v>49</v>
      </c>
      <c r="D24" s="33">
        <v>1</v>
      </c>
      <c r="E24" s="35">
        <v>364.1</v>
      </c>
      <c r="F24" s="35"/>
      <c r="G24" s="35">
        <v>364.1</v>
      </c>
      <c r="H24" s="36" t="s">
        <v>50</v>
      </c>
      <c r="I24" s="37">
        <v>1394</v>
      </c>
      <c r="J24" s="35"/>
      <c r="K24" s="35"/>
      <c r="L24" s="35" t="str">
        <f>IF(1*0=0," ",TEXT(,ROUND((1*0*3.83),2)))</f>
        <v> </v>
      </c>
      <c r="M24" s="35"/>
      <c r="N24" s="35"/>
    </row>
    <row r="25" spans="1:14" ht="60">
      <c r="A25" s="33">
        <v>5</v>
      </c>
      <c r="B25" s="34" t="s">
        <v>51</v>
      </c>
      <c r="C25" s="34" t="s">
        <v>52</v>
      </c>
      <c r="D25" s="33">
        <v>11</v>
      </c>
      <c r="E25" s="35" t="s">
        <v>53</v>
      </c>
      <c r="F25" s="35"/>
      <c r="G25" s="35" t="s">
        <v>54</v>
      </c>
      <c r="H25" s="36" t="s">
        <v>55</v>
      </c>
      <c r="I25" s="37">
        <v>2037</v>
      </c>
      <c r="J25" s="35">
        <v>2007</v>
      </c>
      <c r="K25" s="35"/>
      <c r="L25" s="35" t="str">
        <f>IF(11*0.4=0," ",TEXT(,ROUND((11*0.4*6.03),2)))</f>
        <v>26.53</v>
      </c>
      <c r="M25" s="35">
        <v>1.12</v>
      </c>
      <c r="N25" s="35">
        <v>12.32</v>
      </c>
    </row>
    <row r="26" spans="1:14" ht="24">
      <c r="A26" s="33">
        <v>6</v>
      </c>
      <c r="B26" s="34" t="s">
        <v>36</v>
      </c>
      <c r="C26" s="34" t="s">
        <v>56</v>
      </c>
      <c r="D26" s="33">
        <v>1</v>
      </c>
      <c r="E26" s="35">
        <v>264.47</v>
      </c>
      <c r="F26" s="35"/>
      <c r="G26" s="35" t="s">
        <v>57</v>
      </c>
      <c r="H26" s="36" t="s">
        <v>50</v>
      </c>
      <c r="I26" s="37">
        <v>1011</v>
      </c>
      <c r="J26" s="35"/>
      <c r="K26" s="35"/>
      <c r="L26" s="35" t="str">
        <f>IF(1*0=0," ",TEXT(,ROUND((1*0*3.83),2)))</f>
        <v> </v>
      </c>
      <c r="M26" s="35"/>
      <c r="N26" s="35"/>
    </row>
    <row r="27" spans="1:14" ht="36">
      <c r="A27" s="33">
        <v>7</v>
      </c>
      <c r="B27" s="34" t="s">
        <v>58</v>
      </c>
      <c r="C27" s="34" t="s">
        <v>59</v>
      </c>
      <c r="D27" s="33">
        <v>8</v>
      </c>
      <c r="E27" s="35">
        <v>324.75</v>
      </c>
      <c r="F27" s="35"/>
      <c r="G27" s="35">
        <v>324.75</v>
      </c>
      <c r="H27" s="36" t="s">
        <v>50</v>
      </c>
      <c r="I27" s="37">
        <v>9950</v>
      </c>
      <c r="J27" s="35"/>
      <c r="K27" s="35"/>
      <c r="L27" s="35" t="str">
        <f>IF(8*0=0," ",TEXT(,ROUND((8*0*3.83),2)))</f>
        <v> </v>
      </c>
      <c r="M27" s="35"/>
      <c r="N27" s="35"/>
    </row>
    <row r="28" spans="1:14" ht="24">
      <c r="A28" s="33">
        <v>8</v>
      </c>
      <c r="B28" s="34" t="s">
        <v>60</v>
      </c>
      <c r="C28" s="34" t="s">
        <v>61</v>
      </c>
      <c r="D28" s="33">
        <v>1</v>
      </c>
      <c r="E28" s="35">
        <v>29.16</v>
      </c>
      <c r="F28" s="35"/>
      <c r="G28" s="35" t="s">
        <v>62</v>
      </c>
      <c r="H28" s="36" t="s">
        <v>50</v>
      </c>
      <c r="I28" s="37">
        <v>111</v>
      </c>
      <c r="J28" s="35"/>
      <c r="K28" s="35"/>
      <c r="L28" s="35" t="str">
        <f>IF(1*0=0," ",TEXT(,ROUND((1*0*3.83),2)))</f>
        <v> </v>
      </c>
      <c r="M28" s="35"/>
      <c r="N28" s="35"/>
    </row>
    <row r="29" spans="1:14" ht="36">
      <c r="A29" s="33">
        <v>9</v>
      </c>
      <c r="B29" s="34" t="s">
        <v>63</v>
      </c>
      <c r="C29" s="34" t="s">
        <v>64</v>
      </c>
      <c r="D29" s="33">
        <v>1</v>
      </c>
      <c r="E29" s="35">
        <v>68.16</v>
      </c>
      <c r="F29" s="35"/>
      <c r="G29" s="35" t="s">
        <v>65</v>
      </c>
      <c r="H29" s="36" t="s">
        <v>50</v>
      </c>
      <c r="I29" s="37">
        <v>260</v>
      </c>
      <c r="J29" s="35"/>
      <c r="K29" s="35"/>
      <c r="L29" s="35" t="str">
        <f>IF(1*0=0," ",TEXT(,ROUND((1*0*3.83),2)))</f>
        <v> </v>
      </c>
      <c r="M29" s="35"/>
      <c r="N29" s="35"/>
    </row>
    <row r="30" spans="1:14" ht="60">
      <c r="A30" s="33">
        <v>10</v>
      </c>
      <c r="B30" s="34" t="s">
        <v>66</v>
      </c>
      <c r="C30" s="34" t="s">
        <v>67</v>
      </c>
      <c r="D30" s="33">
        <v>1</v>
      </c>
      <c r="E30" s="35" t="s">
        <v>68</v>
      </c>
      <c r="F30" s="35"/>
      <c r="G30" s="35" t="s">
        <v>69</v>
      </c>
      <c r="H30" s="36" t="s">
        <v>70</v>
      </c>
      <c r="I30" s="37">
        <v>85</v>
      </c>
      <c r="J30" s="35">
        <v>82</v>
      </c>
      <c r="K30" s="35"/>
      <c r="L30" s="35" t="str">
        <f>IF(1*1.09=0," ",TEXT(,ROUND((1*1.09*2.9),2)))</f>
        <v>3.16</v>
      </c>
      <c r="M30" s="35">
        <v>0.52</v>
      </c>
      <c r="N30" s="35">
        <v>0.52</v>
      </c>
    </row>
    <row r="31" spans="1:14" ht="36">
      <c r="A31" s="33">
        <v>11</v>
      </c>
      <c r="B31" s="34" t="s">
        <v>71</v>
      </c>
      <c r="C31" s="34" t="s">
        <v>72</v>
      </c>
      <c r="D31" s="33">
        <v>1</v>
      </c>
      <c r="E31" s="35">
        <v>3542.4</v>
      </c>
      <c r="F31" s="35"/>
      <c r="G31" s="35" t="s">
        <v>73</v>
      </c>
      <c r="H31" s="36" t="s">
        <v>50</v>
      </c>
      <c r="I31" s="37">
        <v>13566</v>
      </c>
      <c r="J31" s="35"/>
      <c r="K31" s="35"/>
      <c r="L31" s="35" t="str">
        <f>IF(1*0=0," ",TEXT(,ROUND((1*0*3.83),2)))</f>
        <v> </v>
      </c>
      <c r="M31" s="35"/>
      <c r="N31" s="35"/>
    </row>
    <row r="32" spans="1:14" ht="60">
      <c r="A32" s="33">
        <v>12</v>
      </c>
      <c r="B32" s="34" t="s">
        <v>74</v>
      </c>
      <c r="C32" s="34" t="s">
        <v>75</v>
      </c>
      <c r="D32" s="33">
        <v>11</v>
      </c>
      <c r="E32" s="35" t="s">
        <v>76</v>
      </c>
      <c r="F32" s="35"/>
      <c r="G32" s="35" t="s">
        <v>77</v>
      </c>
      <c r="H32" s="36" t="s">
        <v>78</v>
      </c>
      <c r="I32" s="37">
        <v>906</v>
      </c>
      <c r="J32" s="35">
        <v>888</v>
      </c>
      <c r="K32" s="35"/>
      <c r="L32" s="35" t="str">
        <f>IF(11*0.41=0," ",TEXT(,ROUND((11*0.41*4.49),2)))</f>
        <v>20.25</v>
      </c>
      <c r="M32" s="35">
        <v>0.5</v>
      </c>
      <c r="N32" s="35">
        <v>5.5</v>
      </c>
    </row>
    <row r="33" spans="1:14" ht="24">
      <c r="A33" s="33">
        <v>13</v>
      </c>
      <c r="B33" s="34" t="s">
        <v>79</v>
      </c>
      <c r="C33" s="34" t="s">
        <v>80</v>
      </c>
      <c r="D33" s="33">
        <v>11</v>
      </c>
      <c r="E33" s="35">
        <v>8.64</v>
      </c>
      <c r="F33" s="35"/>
      <c r="G33" s="35" t="s">
        <v>81</v>
      </c>
      <c r="H33" s="36" t="s">
        <v>39</v>
      </c>
      <c r="I33" s="37">
        <v>530</v>
      </c>
      <c r="J33" s="35"/>
      <c r="K33" s="35"/>
      <c r="L33" s="35" t="str">
        <f>IF(11*8.64=0," ",TEXT(,ROUND((11*8.64*5.58),2)))</f>
        <v>530.32</v>
      </c>
      <c r="M33" s="35"/>
      <c r="N33" s="35"/>
    </row>
    <row r="34" spans="1:14" ht="96">
      <c r="A34" s="33">
        <v>14</v>
      </c>
      <c r="B34" s="34" t="s">
        <v>82</v>
      </c>
      <c r="C34" s="34" t="s">
        <v>83</v>
      </c>
      <c r="D34" s="33">
        <v>10</v>
      </c>
      <c r="E34" s="35" t="s">
        <v>84</v>
      </c>
      <c r="F34" s="35"/>
      <c r="G34" s="35" t="s">
        <v>85</v>
      </c>
      <c r="H34" s="36" t="s">
        <v>86</v>
      </c>
      <c r="I34" s="37">
        <v>2093</v>
      </c>
      <c r="J34" s="35">
        <v>1744</v>
      </c>
      <c r="K34" s="35"/>
      <c r="L34" s="35" t="str">
        <f>IF(10*4.17=0," ",TEXT(,ROUND((10*4.17*8.31),2)))</f>
        <v>346.53</v>
      </c>
      <c r="M34" s="35">
        <v>1.1</v>
      </c>
      <c r="N34" s="35">
        <v>11</v>
      </c>
    </row>
    <row r="35" spans="1:14" ht="36">
      <c r="A35" s="33">
        <v>15</v>
      </c>
      <c r="B35" s="34" t="s">
        <v>87</v>
      </c>
      <c r="C35" s="34" t="s">
        <v>88</v>
      </c>
      <c r="D35" s="33">
        <v>10</v>
      </c>
      <c r="E35" s="35">
        <v>23.43</v>
      </c>
      <c r="F35" s="35"/>
      <c r="G35" s="35" t="s">
        <v>89</v>
      </c>
      <c r="H35" s="36" t="s">
        <v>39</v>
      </c>
      <c r="I35" s="37">
        <v>1306</v>
      </c>
      <c r="J35" s="35"/>
      <c r="K35" s="35"/>
      <c r="L35" s="35" t="str">
        <f>IF(10*23.43=0," ",TEXT(,ROUND((10*23.43*5.58),2)))</f>
        <v>1307.39</v>
      </c>
      <c r="M35" s="35"/>
      <c r="N35" s="35"/>
    </row>
    <row r="36" spans="1:14" ht="60">
      <c r="A36" s="33">
        <v>16</v>
      </c>
      <c r="B36" s="34" t="s">
        <v>90</v>
      </c>
      <c r="C36" s="34" t="s">
        <v>91</v>
      </c>
      <c r="D36" s="33">
        <v>1.2</v>
      </c>
      <c r="E36" s="35" t="s">
        <v>92</v>
      </c>
      <c r="F36" s="35" t="s">
        <v>93</v>
      </c>
      <c r="G36" s="35" t="s">
        <v>94</v>
      </c>
      <c r="H36" s="36" t="s">
        <v>95</v>
      </c>
      <c r="I36" s="37">
        <v>6275</v>
      </c>
      <c r="J36" s="35">
        <v>5001</v>
      </c>
      <c r="K36" s="35" t="s">
        <v>96</v>
      </c>
      <c r="L36" s="35" t="str">
        <f>IF(1.2*69.2=0," ",TEXT(,ROUND((1.2*69.2*4.29),2)))</f>
        <v>356.24</v>
      </c>
      <c r="M36" s="35" t="s">
        <v>97</v>
      </c>
      <c r="N36" s="35" t="s">
        <v>98</v>
      </c>
    </row>
    <row r="37" spans="1:14" ht="60">
      <c r="A37" s="33">
        <v>17</v>
      </c>
      <c r="B37" s="34" t="s">
        <v>27</v>
      </c>
      <c r="C37" s="34" t="s">
        <v>28</v>
      </c>
      <c r="D37" s="33">
        <v>0.8</v>
      </c>
      <c r="E37" s="35" t="s">
        <v>29</v>
      </c>
      <c r="F37" s="35" t="s">
        <v>30</v>
      </c>
      <c r="G37" s="35" t="s">
        <v>31</v>
      </c>
      <c r="H37" s="36" t="s">
        <v>32</v>
      </c>
      <c r="I37" s="37">
        <v>5423</v>
      </c>
      <c r="J37" s="35">
        <v>1497</v>
      </c>
      <c r="K37" s="35" t="s">
        <v>99</v>
      </c>
      <c r="L37" s="35" t="str">
        <f>IF(0.8*61.77=0," ",TEXT(,ROUND((0.8*61.77*5.53),2)))</f>
        <v>273.27</v>
      </c>
      <c r="M37" s="35" t="s">
        <v>34</v>
      </c>
      <c r="N37" s="35" t="s">
        <v>100</v>
      </c>
    </row>
    <row r="38" spans="1:14" ht="60">
      <c r="A38" s="33">
        <v>18</v>
      </c>
      <c r="B38" s="34" t="s">
        <v>101</v>
      </c>
      <c r="C38" s="34" t="s">
        <v>102</v>
      </c>
      <c r="D38" s="33">
        <v>0.03</v>
      </c>
      <c r="E38" s="35" t="s">
        <v>103</v>
      </c>
      <c r="F38" s="35" t="s">
        <v>104</v>
      </c>
      <c r="G38" s="35" t="s">
        <v>105</v>
      </c>
      <c r="H38" s="36" t="s">
        <v>32</v>
      </c>
      <c r="I38" s="37">
        <v>228</v>
      </c>
      <c r="J38" s="35">
        <v>66</v>
      </c>
      <c r="K38" s="35" t="s">
        <v>106</v>
      </c>
      <c r="L38" s="35" t="str">
        <f>IF(0.03*62.08=0," ",TEXT(,ROUND((0.03*62.08*5.53),2)))</f>
        <v>10.3</v>
      </c>
      <c r="M38" s="35" t="s">
        <v>107</v>
      </c>
      <c r="N38" s="35" t="s">
        <v>108</v>
      </c>
    </row>
    <row r="39" spans="1:14" ht="60">
      <c r="A39" s="33">
        <v>19</v>
      </c>
      <c r="B39" s="34" t="s">
        <v>109</v>
      </c>
      <c r="C39" s="34" t="s">
        <v>110</v>
      </c>
      <c r="D39" s="33">
        <v>120</v>
      </c>
      <c r="E39" s="35">
        <v>2.24</v>
      </c>
      <c r="F39" s="35"/>
      <c r="G39" s="35" t="s">
        <v>111</v>
      </c>
      <c r="H39" s="36" t="s">
        <v>112</v>
      </c>
      <c r="I39" s="37">
        <v>362</v>
      </c>
      <c r="J39" s="35"/>
      <c r="K39" s="35"/>
      <c r="L39" s="35" t="str">
        <f>IF(120*2.24=0," ",TEXT(,ROUND((120*2.24*1.347),2)))</f>
        <v>362.07</v>
      </c>
      <c r="M39" s="35"/>
      <c r="N39" s="35"/>
    </row>
    <row r="40" spans="1:14" ht="108">
      <c r="A40" s="33">
        <v>20</v>
      </c>
      <c r="B40" s="34" t="s">
        <v>113</v>
      </c>
      <c r="C40" s="34" t="s">
        <v>114</v>
      </c>
      <c r="D40" s="33">
        <v>0.16</v>
      </c>
      <c r="E40" s="35">
        <v>10296.33</v>
      </c>
      <c r="F40" s="35"/>
      <c r="G40" s="35" t="s">
        <v>115</v>
      </c>
      <c r="H40" s="36" t="s">
        <v>116</v>
      </c>
      <c r="I40" s="37">
        <v>14243</v>
      </c>
      <c r="J40" s="35"/>
      <c r="K40" s="35"/>
      <c r="L40" s="35" t="str">
        <f>IF(0.16*10296.33=0," ",TEXT(,ROUND((0.16*10296.33*8.648),2)))</f>
        <v>14246.83</v>
      </c>
      <c r="M40" s="35"/>
      <c r="N40" s="35"/>
    </row>
    <row r="41" spans="1:14" ht="84">
      <c r="A41" s="33">
        <v>21</v>
      </c>
      <c r="B41" s="34" t="s">
        <v>117</v>
      </c>
      <c r="C41" s="34" t="s">
        <v>118</v>
      </c>
      <c r="D41" s="33">
        <v>0.04</v>
      </c>
      <c r="E41" s="35">
        <v>2156.61</v>
      </c>
      <c r="F41" s="35"/>
      <c r="G41" s="35" t="s">
        <v>119</v>
      </c>
      <c r="H41" s="36" t="s">
        <v>39</v>
      </c>
      <c r="I41" s="37">
        <v>480</v>
      </c>
      <c r="J41" s="35"/>
      <c r="K41" s="35"/>
      <c r="L41" s="35" t="str">
        <f>IF(0.04*2156.61=0," ",TEXT(,ROUND((0.04*2156.61*5.58),2)))</f>
        <v>481.36</v>
      </c>
      <c r="M41" s="35"/>
      <c r="N41" s="35"/>
    </row>
    <row r="42" spans="1:14" ht="84">
      <c r="A42" s="33">
        <v>22</v>
      </c>
      <c r="B42" s="34" t="s">
        <v>117</v>
      </c>
      <c r="C42" s="34" t="s">
        <v>120</v>
      </c>
      <c r="D42" s="33">
        <v>0.02</v>
      </c>
      <c r="E42" s="35">
        <v>2824.86</v>
      </c>
      <c r="F42" s="35"/>
      <c r="G42" s="35" t="s">
        <v>121</v>
      </c>
      <c r="H42" s="36" t="s">
        <v>39</v>
      </c>
      <c r="I42" s="37">
        <v>312</v>
      </c>
      <c r="J42" s="35"/>
      <c r="K42" s="35"/>
      <c r="L42" s="35" t="str">
        <f>IF(0.02*2824.86=0," ",TEXT(,ROUND((0.02*2824.86*5.58),2)))</f>
        <v>315.25</v>
      </c>
      <c r="M42" s="35"/>
      <c r="N42" s="35"/>
    </row>
    <row r="43" spans="1:14" ht="108">
      <c r="A43" s="33">
        <v>23</v>
      </c>
      <c r="B43" s="34" t="s">
        <v>122</v>
      </c>
      <c r="C43" s="34" t="s">
        <v>123</v>
      </c>
      <c r="D43" s="33">
        <v>0.003</v>
      </c>
      <c r="E43" s="35">
        <v>45607.75</v>
      </c>
      <c r="F43" s="35"/>
      <c r="G43" s="35" t="s">
        <v>124</v>
      </c>
      <c r="H43" s="36" t="s">
        <v>125</v>
      </c>
      <c r="I43" s="37">
        <v>970</v>
      </c>
      <c r="J43" s="35"/>
      <c r="K43" s="35"/>
      <c r="L43" s="35" t="str">
        <f>IF(0.003*45607.75=0," ",TEXT(,ROUND((0.003*45607.75*7.078),2)))</f>
        <v>968.43</v>
      </c>
      <c r="M43" s="35"/>
      <c r="N43" s="35"/>
    </row>
    <row r="44" spans="1:14" ht="72">
      <c r="A44" s="33">
        <v>24</v>
      </c>
      <c r="B44" s="34" t="s">
        <v>126</v>
      </c>
      <c r="C44" s="34" t="s">
        <v>127</v>
      </c>
      <c r="D44" s="33">
        <v>0.04</v>
      </c>
      <c r="E44" s="35" t="s">
        <v>128</v>
      </c>
      <c r="F44" s="35" t="s">
        <v>129</v>
      </c>
      <c r="G44" s="35" t="s">
        <v>130</v>
      </c>
      <c r="H44" s="36" t="s">
        <v>131</v>
      </c>
      <c r="I44" s="37">
        <v>267</v>
      </c>
      <c r="J44" s="35">
        <v>148</v>
      </c>
      <c r="K44" s="35">
        <v>45</v>
      </c>
      <c r="L44" s="35" t="str">
        <f>IF(0.04*228.04=0," ",TEXT(,ROUND((0.04*228.04*7.44),2)))</f>
        <v>67.86</v>
      </c>
      <c r="M44" s="35" t="s">
        <v>132</v>
      </c>
      <c r="N44" s="35" t="s">
        <v>133</v>
      </c>
    </row>
    <row r="45" spans="1:14" ht="96">
      <c r="A45" s="33">
        <v>25</v>
      </c>
      <c r="B45" s="34" t="s">
        <v>134</v>
      </c>
      <c r="C45" s="34" t="s">
        <v>135</v>
      </c>
      <c r="D45" s="33">
        <v>0.04</v>
      </c>
      <c r="E45" s="35" t="s">
        <v>136</v>
      </c>
      <c r="F45" s="35" t="s">
        <v>137</v>
      </c>
      <c r="G45" s="35" t="s">
        <v>138</v>
      </c>
      <c r="H45" s="36" t="s">
        <v>139</v>
      </c>
      <c r="I45" s="37">
        <v>50</v>
      </c>
      <c r="J45" s="35">
        <v>33</v>
      </c>
      <c r="K45" s="35"/>
      <c r="L45" s="35" t="str">
        <f>IF(0.04*22.69=0," ",TEXT(,ROUND((0.04*22.69*8.32),2)))</f>
        <v>7.55</v>
      </c>
      <c r="M45" s="35" t="s">
        <v>140</v>
      </c>
      <c r="N45" s="35">
        <v>0.25</v>
      </c>
    </row>
    <row r="46" spans="1:14" ht="108">
      <c r="A46" s="33">
        <v>26</v>
      </c>
      <c r="B46" s="34" t="s">
        <v>141</v>
      </c>
      <c r="C46" s="34" t="s">
        <v>142</v>
      </c>
      <c r="D46" s="33">
        <v>0.16</v>
      </c>
      <c r="E46" s="35" t="s">
        <v>143</v>
      </c>
      <c r="F46" s="35" t="s">
        <v>144</v>
      </c>
      <c r="G46" s="35" t="s">
        <v>145</v>
      </c>
      <c r="H46" s="36" t="s">
        <v>146</v>
      </c>
      <c r="I46" s="37">
        <v>149</v>
      </c>
      <c r="J46" s="35">
        <v>115</v>
      </c>
      <c r="K46" s="35">
        <v>20</v>
      </c>
      <c r="L46" s="35" t="str">
        <f>IF(0.16*16.69=0," ",TEXT(,ROUND((0.16*16.69*4.66),2)))</f>
        <v>12.44</v>
      </c>
      <c r="M46" s="35" t="s">
        <v>147</v>
      </c>
      <c r="N46" s="35" t="s">
        <v>148</v>
      </c>
    </row>
    <row r="47" spans="1:14" ht="84">
      <c r="A47" s="33">
        <v>27</v>
      </c>
      <c r="B47" s="34" t="s">
        <v>149</v>
      </c>
      <c r="C47" s="34" t="s">
        <v>150</v>
      </c>
      <c r="D47" s="33">
        <v>4</v>
      </c>
      <c r="E47" s="35">
        <v>24.35</v>
      </c>
      <c r="F47" s="35"/>
      <c r="G47" s="35" t="s">
        <v>151</v>
      </c>
      <c r="H47" s="36" t="s">
        <v>152</v>
      </c>
      <c r="I47" s="37">
        <v>448</v>
      </c>
      <c r="J47" s="35"/>
      <c r="K47" s="35"/>
      <c r="L47" s="35" t="str">
        <f>IF(4*24.35=0," ",TEXT(,ROUND((4*24.35*4.623),2)))</f>
        <v>450.28</v>
      </c>
      <c r="M47" s="35"/>
      <c r="N47" s="35"/>
    </row>
    <row r="48" spans="1:14" ht="60">
      <c r="A48" s="33">
        <v>28</v>
      </c>
      <c r="B48" s="34" t="s">
        <v>153</v>
      </c>
      <c r="C48" s="34" t="s">
        <v>154</v>
      </c>
      <c r="D48" s="33">
        <v>140</v>
      </c>
      <c r="E48" s="35">
        <v>12.03</v>
      </c>
      <c r="F48" s="35"/>
      <c r="G48" s="35" t="s">
        <v>155</v>
      </c>
      <c r="H48" s="36" t="s">
        <v>156</v>
      </c>
      <c r="I48" s="37">
        <v>11650</v>
      </c>
      <c r="J48" s="35"/>
      <c r="K48" s="35"/>
      <c r="L48" s="35" t="str">
        <f>IF(140*12.03=0," ",TEXT(,ROUND((140*12.03*6.918),2)))</f>
        <v>11651.3</v>
      </c>
      <c r="M48" s="35"/>
      <c r="N48" s="35"/>
    </row>
    <row r="49" spans="1:14" ht="36">
      <c r="A49" s="33">
        <v>29</v>
      </c>
      <c r="B49" s="34" t="s">
        <v>157</v>
      </c>
      <c r="C49" s="34" t="s">
        <v>158</v>
      </c>
      <c r="D49" s="33">
        <v>30</v>
      </c>
      <c r="E49" s="35">
        <v>38.6</v>
      </c>
      <c r="F49" s="35"/>
      <c r="G49" s="35" t="s">
        <v>159</v>
      </c>
      <c r="H49" s="36" t="s">
        <v>160</v>
      </c>
      <c r="I49" s="37">
        <v>1556</v>
      </c>
      <c r="J49" s="35"/>
      <c r="K49" s="35"/>
      <c r="L49" s="35" t="str">
        <f>IF(30*0=0," ",TEXT(,ROUND((30*0*1.344),2)))</f>
        <v> </v>
      </c>
      <c r="M49" s="35"/>
      <c r="N49" s="35"/>
    </row>
    <row r="50" spans="1:14" ht="24">
      <c r="A50" s="76" t="s">
        <v>161</v>
      </c>
      <c r="B50" s="76"/>
      <c r="C50" s="76"/>
      <c r="D50" s="76"/>
      <c r="E50" s="76"/>
      <c r="F50" s="76"/>
      <c r="G50" s="76"/>
      <c r="H50" s="76"/>
      <c r="I50" s="37">
        <v>45059</v>
      </c>
      <c r="J50" s="35">
        <v>1339</v>
      </c>
      <c r="K50" s="35" t="s">
        <v>162</v>
      </c>
      <c r="L50" s="35">
        <v>31906</v>
      </c>
      <c r="M50" s="35"/>
      <c r="N50" s="35" t="s">
        <v>163</v>
      </c>
    </row>
    <row r="51" spans="1:14" ht="24">
      <c r="A51" s="76" t="s">
        <v>164</v>
      </c>
      <c r="B51" s="76"/>
      <c r="C51" s="76"/>
      <c r="D51" s="76"/>
      <c r="E51" s="76"/>
      <c r="F51" s="76"/>
      <c r="G51" s="76"/>
      <c r="H51" s="76"/>
      <c r="I51" s="37">
        <v>264000</v>
      </c>
      <c r="J51" s="35">
        <v>22027</v>
      </c>
      <c r="K51" s="35" t="s">
        <v>165</v>
      </c>
      <c r="L51" s="35">
        <v>184317</v>
      </c>
      <c r="M51" s="35"/>
      <c r="N51" s="35" t="s">
        <v>163</v>
      </c>
    </row>
    <row r="52" spans="1:14" ht="12">
      <c r="A52" s="76" t="s">
        <v>166</v>
      </c>
      <c r="B52" s="76"/>
      <c r="C52" s="76"/>
      <c r="D52" s="76"/>
      <c r="E52" s="76"/>
      <c r="F52" s="76"/>
      <c r="G52" s="76"/>
      <c r="H52" s="76"/>
      <c r="I52" s="37">
        <v>22220</v>
      </c>
      <c r="J52" s="35"/>
      <c r="K52" s="35"/>
      <c r="L52" s="35"/>
      <c r="M52" s="35"/>
      <c r="N52" s="35"/>
    </row>
    <row r="53" spans="1:14" ht="12">
      <c r="A53" s="76" t="s">
        <v>167</v>
      </c>
      <c r="B53" s="76"/>
      <c r="C53" s="76"/>
      <c r="D53" s="76"/>
      <c r="E53" s="76"/>
      <c r="F53" s="76"/>
      <c r="G53" s="76"/>
      <c r="H53" s="76"/>
      <c r="I53" s="37">
        <v>14307</v>
      </c>
      <c r="J53" s="35"/>
      <c r="K53" s="35"/>
      <c r="L53" s="35"/>
      <c r="M53" s="35"/>
      <c r="N53" s="35"/>
    </row>
    <row r="54" spans="1:14" ht="12">
      <c r="A54" s="75" t="s">
        <v>168</v>
      </c>
      <c r="B54" s="75"/>
      <c r="C54" s="75"/>
      <c r="D54" s="75"/>
      <c r="E54" s="75"/>
      <c r="F54" s="75"/>
      <c r="G54" s="75"/>
      <c r="H54" s="75"/>
      <c r="I54" s="37"/>
      <c r="J54" s="35"/>
      <c r="K54" s="35"/>
      <c r="L54" s="35"/>
      <c r="M54" s="35"/>
      <c r="N54" s="35"/>
    </row>
    <row r="55" spans="1:14" ht="24">
      <c r="A55" s="76" t="s">
        <v>169</v>
      </c>
      <c r="B55" s="76"/>
      <c r="C55" s="76"/>
      <c r="D55" s="76"/>
      <c r="E55" s="76"/>
      <c r="F55" s="76"/>
      <c r="G55" s="76"/>
      <c r="H55" s="76"/>
      <c r="I55" s="37">
        <v>272678</v>
      </c>
      <c r="J55" s="35"/>
      <c r="K55" s="35"/>
      <c r="L55" s="35"/>
      <c r="M55" s="35"/>
      <c r="N55" s="35" t="s">
        <v>163</v>
      </c>
    </row>
    <row r="56" spans="1:14" ht="12">
      <c r="A56" s="76" t="s">
        <v>170</v>
      </c>
      <c r="B56" s="76"/>
      <c r="C56" s="76"/>
      <c r="D56" s="76"/>
      <c r="E56" s="76"/>
      <c r="F56" s="76"/>
      <c r="G56" s="76"/>
      <c r="H56" s="76"/>
      <c r="I56" s="37">
        <v>27849</v>
      </c>
      <c r="J56" s="35"/>
      <c r="K56" s="35"/>
      <c r="L56" s="35"/>
      <c r="M56" s="35"/>
      <c r="N56" s="35"/>
    </row>
    <row r="57" spans="1:14" ht="24">
      <c r="A57" s="76" t="s">
        <v>171</v>
      </c>
      <c r="B57" s="76"/>
      <c r="C57" s="76"/>
      <c r="D57" s="76"/>
      <c r="E57" s="76"/>
      <c r="F57" s="76"/>
      <c r="G57" s="76"/>
      <c r="H57" s="76"/>
      <c r="I57" s="37">
        <v>300527</v>
      </c>
      <c r="J57" s="35"/>
      <c r="K57" s="35"/>
      <c r="L57" s="35"/>
      <c r="M57" s="35"/>
      <c r="N57" s="35" t="s">
        <v>163</v>
      </c>
    </row>
    <row r="58" spans="1:14" ht="12">
      <c r="A58" s="76" t="s">
        <v>172</v>
      </c>
      <c r="B58" s="76"/>
      <c r="C58" s="76"/>
      <c r="D58" s="76"/>
      <c r="E58" s="76"/>
      <c r="F58" s="76"/>
      <c r="G58" s="76"/>
      <c r="H58" s="76"/>
      <c r="I58" s="37"/>
      <c r="J58" s="35"/>
      <c r="K58" s="35"/>
      <c r="L58" s="35"/>
      <c r="M58" s="35"/>
      <c r="N58" s="35"/>
    </row>
    <row r="59" spans="1:14" ht="12">
      <c r="A59" s="76" t="s">
        <v>173</v>
      </c>
      <c r="B59" s="76"/>
      <c r="C59" s="76"/>
      <c r="D59" s="76"/>
      <c r="E59" s="76"/>
      <c r="F59" s="76"/>
      <c r="G59" s="76"/>
      <c r="H59" s="76"/>
      <c r="I59" s="37">
        <v>184317</v>
      </c>
      <c r="J59" s="35"/>
      <c r="K59" s="35"/>
      <c r="L59" s="35"/>
      <c r="M59" s="35"/>
      <c r="N59" s="35"/>
    </row>
    <row r="60" spans="1:14" ht="12">
      <c r="A60" s="76" t="s">
        <v>174</v>
      </c>
      <c r="B60" s="76"/>
      <c r="C60" s="76"/>
      <c r="D60" s="76"/>
      <c r="E60" s="76"/>
      <c r="F60" s="76"/>
      <c r="G60" s="76"/>
      <c r="H60" s="76"/>
      <c r="I60" s="37">
        <v>29807</v>
      </c>
      <c r="J60" s="35"/>
      <c r="K60" s="35"/>
      <c r="L60" s="35"/>
      <c r="M60" s="35"/>
      <c r="N60" s="35"/>
    </row>
    <row r="61" spans="1:14" ht="12">
      <c r="A61" s="76" t="s">
        <v>175</v>
      </c>
      <c r="B61" s="76"/>
      <c r="C61" s="76"/>
      <c r="D61" s="76"/>
      <c r="E61" s="76"/>
      <c r="F61" s="76"/>
      <c r="G61" s="76"/>
      <c r="H61" s="76"/>
      <c r="I61" s="37">
        <v>27587</v>
      </c>
      <c r="J61" s="35"/>
      <c r="K61" s="35"/>
      <c r="L61" s="35"/>
      <c r="M61" s="35"/>
      <c r="N61" s="35"/>
    </row>
    <row r="62" spans="1:14" ht="12">
      <c r="A62" s="76" t="s">
        <v>176</v>
      </c>
      <c r="B62" s="76"/>
      <c r="C62" s="76"/>
      <c r="D62" s="76"/>
      <c r="E62" s="76"/>
      <c r="F62" s="76"/>
      <c r="G62" s="76"/>
      <c r="H62" s="76"/>
      <c r="I62" s="37">
        <v>27849</v>
      </c>
      <c r="J62" s="35"/>
      <c r="K62" s="35"/>
      <c r="L62" s="35"/>
      <c r="M62" s="35"/>
      <c r="N62" s="35"/>
    </row>
    <row r="63" spans="1:14" ht="12">
      <c r="A63" s="76" t="s">
        <v>177</v>
      </c>
      <c r="B63" s="76"/>
      <c r="C63" s="76"/>
      <c r="D63" s="76"/>
      <c r="E63" s="76"/>
      <c r="F63" s="76"/>
      <c r="G63" s="76"/>
      <c r="H63" s="76"/>
      <c r="I63" s="37">
        <v>22220</v>
      </c>
      <c r="J63" s="35"/>
      <c r="K63" s="35"/>
      <c r="L63" s="35"/>
      <c r="M63" s="35"/>
      <c r="N63" s="35"/>
    </row>
    <row r="64" spans="1:14" ht="12">
      <c r="A64" s="76" t="s">
        <v>178</v>
      </c>
      <c r="B64" s="76"/>
      <c r="C64" s="76"/>
      <c r="D64" s="76"/>
      <c r="E64" s="76"/>
      <c r="F64" s="76"/>
      <c r="G64" s="76"/>
      <c r="H64" s="76"/>
      <c r="I64" s="37">
        <v>14307</v>
      </c>
      <c r="J64" s="35"/>
      <c r="K64" s="35"/>
      <c r="L64" s="35"/>
      <c r="M64" s="35"/>
      <c r="N64" s="35"/>
    </row>
    <row r="65" spans="1:14" ht="24">
      <c r="A65" s="75" t="s">
        <v>179</v>
      </c>
      <c r="B65" s="75"/>
      <c r="C65" s="75"/>
      <c r="D65" s="75"/>
      <c r="E65" s="75"/>
      <c r="F65" s="75"/>
      <c r="G65" s="75"/>
      <c r="H65" s="75"/>
      <c r="I65" s="37">
        <v>300527</v>
      </c>
      <c r="J65" s="35"/>
      <c r="K65" s="35"/>
      <c r="L65" s="35"/>
      <c r="M65" s="35"/>
      <c r="N65" s="35" t="s">
        <v>163</v>
      </c>
    </row>
    <row r="66" spans="1:14" ht="17.25" customHeight="1">
      <c r="A66" s="75" t="s">
        <v>180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</row>
    <row r="67" spans="1:14" ht="72">
      <c r="A67" s="33">
        <v>30</v>
      </c>
      <c r="B67" s="34" t="s">
        <v>181</v>
      </c>
      <c r="C67" s="34" t="s">
        <v>182</v>
      </c>
      <c r="D67" s="33">
        <v>2.9</v>
      </c>
      <c r="E67" s="35" t="s">
        <v>183</v>
      </c>
      <c r="F67" s="35" t="s">
        <v>184</v>
      </c>
      <c r="G67" s="35" t="s">
        <v>185</v>
      </c>
      <c r="H67" s="36" t="s">
        <v>186</v>
      </c>
      <c r="I67" s="37">
        <v>12336</v>
      </c>
      <c r="J67" s="35">
        <v>9557</v>
      </c>
      <c r="K67" s="35" t="s">
        <v>187</v>
      </c>
      <c r="L67" s="35" t="str">
        <f>IF(2.9*105.21=0," ",TEXT(,ROUND((2.9*105.21*3.63),2)))</f>
        <v>1107.55</v>
      </c>
      <c r="M67" s="35" t="s">
        <v>188</v>
      </c>
      <c r="N67" s="35" t="s">
        <v>189</v>
      </c>
    </row>
    <row r="68" spans="1:14" ht="60">
      <c r="A68" s="33">
        <v>31</v>
      </c>
      <c r="B68" s="34" t="s">
        <v>190</v>
      </c>
      <c r="C68" s="34" t="s">
        <v>191</v>
      </c>
      <c r="D68" s="33" t="s">
        <v>192</v>
      </c>
      <c r="E68" s="35">
        <v>5230.01</v>
      </c>
      <c r="F68" s="35"/>
      <c r="G68" s="35" t="s">
        <v>193</v>
      </c>
      <c r="H68" s="36" t="s">
        <v>194</v>
      </c>
      <c r="I68" s="37">
        <v>3356</v>
      </c>
      <c r="J68" s="35"/>
      <c r="K68" s="35"/>
      <c r="L68" s="35" t="str">
        <f>IF(0.17864*5230.01=0," ",TEXT(,ROUND((0.17864*5230.01*3.593),2)))</f>
        <v>3356.9</v>
      </c>
      <c r="M68" s="35"/>
      <c r="N68" s="35"/>
    </row>
    <row r="69" spans="1:14" ht="60">
      <c r="A69" s="33">
        <v>32</v>
      </c>
      <c r="B69" s="34" t="s">
        <v>195</v>
      </c>
      <c r="C69" s="34" t="s">
        <v>196</v>
      </c>
      <c r="D69" s="33">
        <v>1.2</v>
      </c>
      <c r="E69" s="35" t="s">
        <v>197</v>
      </c>
      <c r="F69" s="35" t="s">
        <v>198</v>
      </c>
      <c r="G69" s="35" t="s">
        <v>199</v>
      </c>
      <c r="H69" s="36" t="s">
        <v>200</v>
      </c>
      <c r="I69" s="37">
        <v>4002</v>
      </c>
      <c r="J69" s="35">
        <v>3076</v>
      </c>
      <c r="K69" s="35" t="s">
        <v>201</v>
      </c>
      <c r="L69" s="35" t="str">
        <f>IF(1.2*41.59=0," ",TEXT(,ROUND((1.2*41.59*3.63),2)))</f>
        <v>181.17</v>
      </c>
      <c r="M69" s="35" t="s">
        <v>202</v>
      </c>
      <c r="N69" s="35" t="s">
        <v>203</v>
      </c>
    </row>
    <row r="70" spans="1:14" ht="60">
      <c r="A70" s="33">
        <v>33</v>
      </c>
      <c r="B70" s="34" t="s">
        <v>204</v>
      </c>
      <c r="C70" s="34" t="s">
        <v>205</v>
      </c>
      <c r="D70" s="33" t="s">
        <v>206</v>
      </c>
      <c r="E70" s="35">
        <v>6200</v>
      </c>
      <c r="F70" s="35"/>
      <c r="G70" s="35" t="s">
        <v>207</v>
      </c>
      <c r="H70" s="36" t="s">
        <v>208</v>
      </c>
      <c r="I70" s="37">
        <v>4746</v>
      </c>
      <c r="J70" s="35"/>
      <c r="K70" s="35"/>
      <c r="L70" s="35" t="str">
        <f>IF(0.1512*6200=0," ",TEXT(,ROUND((0.1512*6200*5.065),2)))</f>
        <v>4748.13</v>
      </c>
      <c r="M70" s="35"/>
      <c r="N70" s="35"/>
    </row>
    <row r="71" spans="1:14" ht="24">
      <c r="A71" s="33">
        <v>34</v>
      </c>
      <c r="B71" s="34" t="s">
        <v>79</v>
      </c>
      <c r="C71" s="34" t="s">
        <v>209</v>
      </c>
      <c r="D71" s="33">
        <v>150</v>
      </c>
      <c r="E71" s="35">
        <v>21.11</v>
      </c>
      <c r="F71" s="35"/>
      <c r="G71" s="35" t="s">
        <v>210</v>
      </c>
      <c r="H71" s="36" t="s">
        <v>39</v>
      </c>
      <c r="I71" s="37">
        <v>17672</v>
      </c>
      <c r="J71" s="35"/>
      <c r="K71" s="35"/>
      <c r="L71" s="35" t="str">
        <f>IF(150*21.11=0," ",TEXT(,ROUND((150*21.11*5.58),2)))</f>
        <v>17669.07</v>
      </c>
      <c r="M71" s="35"/>
      <c r="N71" s="35"/>
    </row>
    <row r="72" spans="1:14" ht="72">
      <c r="A72" s="33">
        <v>35</v>
      </c>
      <c r="B72" s="34" t="s">
        <v>126</v>
      </c>
      <c r="C72" s="34" t="s">
        <v>127</v>
      </c>
      <c r="D72" s="33">
        <v>0.18</v>
      </c>
      <c r="E72" s="35" t="s">
        <v>128</v>
      </c>
      <c r="F72" s="35" t="s">
        <v>129</v>
      </c>
      <c r="G72" s="35" t="s">
        <v>130</v>
      </c>
      <c r="H72" s="36" t="s">
        <v>131</v>
      </c>
      <c r="I72" s="37">
        <v>1216</v>
      </c>
      <c r="J72" s="35">
        <v>691</v>
      </c>
      <c r="K72" s="35" t="s">
        <v>211</v>
      </c>
      <c r="L72" s="35" t="str">
        <f>IF(0.18*228.04=0," ",TEXT(,ROUND((0.18*228.04*7.44),2)))</f>
        <v>305.39</v>
      </c>
      <c r="M72" s="35" t="s">
        <v>132</v>
      </c>
      <c r="N72" s="35" t="s">
        <v>212</v>
      </c>
    </row>
    <row r="73" spans="1:14" ht="72">
      <c r="A73" s="33">
        <v>36</v>
      </c>
      <c r="B73" s="34" t="s">
        <v>213</v>
      </c>
      <c r="C73" s="34" t="s">
        <v>214</v>
      </c>
      <c r="D73" s="33">
        <v>0.03</v>
      </c>
      <c r="E73" s="35" t="s">
        <v>215</v>
      </c>
      <c r="F73" s="35" t="s">
        <v>216</v>
      </c>
      <c r="G73" s="35" t="s">
        <v>217</v>
      </c>
      <c r="H73" s="36" t="s">
        <v>131</v>
      </c>
      <c r="I73" s="37">
        <v>280</v>
      </c>
      <c r="J73" s="35">
        <v>181</v>
      </c>
      <c r="K73" s="35">
        <v>54</v>
      </c>
      <c r="L73" s="35" t="str">
        <f>IF(0.03*212.02=0," ",TEXT(,ROUND((0.03*212.02*7.44),2)))</f>
        <v>47.32</v>
      </c>
      <c r="M73" s="35" t="s">
        <v>218</v>
      </c>
      <c r="N73" s="35" t="s">
        <v>219</v>
      </c>
    </row>
    <row r="74" spans="1:14" ht="84">
      <c r="A74" s="33">
        <v>37</v>
      </c>
      <c r="B74" s="34" t="s">
        <v>220</v>
      </c>
      <c r="C74" s="34" t="s">
        <v>221</v>
      </c>
      <c r="D74" s="33">
        <v>18</v>
      </c>
      <c r="E74" s="35">
        <v>15.33</v>
      </c>
      <c r="F74" s="35"/>
      <c r="G74" s="35" t="s">
        <v>222</v>
      </c>
      <c r="H74" s="36" t="s">
        <v>223</v>
      </c>
      <c r="I74" s="37">
        <v>737</v>
      </c>
      <c r="J74" s="35"/>
      <c r="K74" s="35"/>
      <c r="L74" s="35" t="str">
        <f>IF(18*15.33=0," ",TEXT(,ROUND((18*15.33*2.669),2)))</f>
        <v>736.48</v>
      </c>
      <c r="M74" s="35"/>
      <c r="N74" s="35"/>
    </row>
    <row r="75" spans="1:14" ht="84">
      <c r="A75" s="33">
        <v>38</v>
      </c>
      <c r="B75" s="34" t="s">
        <v>224</v>
      </c>
      <c r="C75" s="34" t="s">
        <v>225</v>
      </c>
      <c r="D75" s="33">
        <v>3</v>
      </c>
      <c r="E75" s="35">
        <v>28.05</v>
      </c>
      <c r="F75" s="35"/>
      <c r="G75" s="35" t="s">
        <v>226</v>
      </c>
      <c r="H75" s="36" t="s">
        <v>227</v>
      </c>
      <c r="I75" s="37">
        <v>427</v>
      </c>
      <c r="J75" s="35"/>
      <c r="K75" s="35"/>
      <c r="L75" s="35" t="str">
        <f>IF(3*28.05=0," ",TEXT(,ROUND((3*28.05*5.086),2)))</f>
        <v>427.99</v>
      </c>
      <c r="M75" s="35"/>
      <c r="N75" s="35"/>
    </row>
    <row r="76" spans="1:14" ht="24">
      <c r="A76" s="76" t="s">
        <v>161</v>
      </c>
      <c r="B76" s="76"/>
      <c r="C76" s="76"/>
      <c r="D76" s="76"/>
      <c r="E76" s="76"/>
      <c r="F76" s="76"/>
      <c r="G76" s="76"/>
      <c r="H76" s="76"/>
      <c r="I76" s="37">
        <v>6941</v>
      </c>
      <c r="J76" s="35">
        <v>821</v>
      </c>
      <c r="K76" s="35" t="s">
        <v>228</v>
      </c>
      <c r="L76" s="35">
        <v>5799</v>
      </c>
      <c r="M76" s="35"/>
      <c r="N76" s="35" t="s">
        <v>229</v>
      </c>
    </row>
    <row r="77" spans="1:14" ht="24">
      <c r="A77" s="76" t="s">
        <v>164</v>
      </c>
      <c r="B77" s="76"/>
      <c r="C77" s="76"/>
      <c r="D77" s="76"/>
      <c r="E77" s="76"/>
      <c r="F77" s="76"/>
      <c r="G77" s="76"/>
      <c r="H77" s="76"/>
      <c r="I77" s="37">
        <v>44772</v>
      </c>
      <c r="J77" s="35">
        <v>13505</v>
      </c>
      <c r="K77" s="35" t="s">
        <v>230</v>
      </c>
      <c r="L77" s="35">
        <v>28570</v>
      </c>
      <c r="M77" s="35"/>
      <c r="N77" s="35" t="s">
        <v>229</v>
      </c>
    </row>
    <row r="78" spans="1:14" ht="12">
      <c r="A78" s="76" t="s">
        <v>166</v>
      </c>
      <c r="B78" s="76"/>
      <c r="C78" s="76"/>
      <c r="D78" s="76"/>
      <c r="E78" s="76"/>
      <c r="F78" s="76"/>
      <c r="G78" s="76"/>
      <c r="H78" s="76"/>
      <c r="I78" s="37">
        <v>11099</v>
      </c>
      <c r="J78" s="35"/>
      <c r="K78" s="35"/>
      <c r="L78" s="35"/>
      <c r="M78" s="35"/>
      <c r="N78" s="35"/>
    </row>
    <row r="79" spans="1:14" ht="12">
      <c r="A79" s="76" t="s">
        <v>167</v>
      </c>
      <c r="B79" s="76"/>
      <c r="C79" s="76"/>
      <c r="D79" s="76"/>
      <c r="E79" s="76"/>
      <c r="F79" s="76"/>
      <c r="G79" s="76"/>
      <c r="H79" s="76"/>
      <c r="I79" s="37">
        <v>7125</v>
      </c>
      <c r="J79" s="35"/>
      <c r="K79" s="35"/>
      <c r="L79" s="35"/>
      <c r="M79" s="35"/>
      <c r="N79" s="35"/>
    </row>
    <row r="80" spans="1:14" ht="12">
      <c r="A80" s="75" t="s">
        <v>231</v>
      </c>
      <c r="B80" s="75"/>
      <c r="C80" s="75"/>
      <c r="D80" s="75"/>
      <c r="E80" s="75"/>
      <c r="F80" s="75"/>
      <c r="G80" s="75"/>
      <c r="H80" s="75"/>
      <c r="I80" s="37"/>
      <c r="J80" s="35"/>
      <c r="K80" s="35"/>
      <c r="L80" s="35"/>
      <c r="M80" s="35"/>
      <c r="N80" s="35"/>
    </row>
    <row r="81" spans="1:14" ht="24">
      <c r="A81" s="76" t="s">
        <v>232</v>
      </c>
      <c r="B81" s="76"/>
      <c r="C81" s="76"/>
      <c r="D81" s="76"/>
      <c r="E81" s="76"/>
      <c r="F81" s="76"/>
      <c r="G81" s="76"/>
      <c r="H81" s="76"/>
      <c r="I81" s="37">
        <v>40804</v>
      </c>
      <c r="J81" s="35"/>
      <c r="K81" s="35"/>
      <c r="L81" s="35"/>
      <c r="M81" s="35"/>
      <c r="N81" s="35" t="s">
        <v>229</v>
      </c>
    </row>
    <row r="82" spans="1:14" ht="12">
      <c r="A82" s="76" t="s">
        <v>233</v>
      </c>
      <c r="B82" s="76"/>
      <c r="C82" s="76"/>
      <c r="D82" s="76"/>
      <c r="E82" s="76"/>
      <c r="F82" s="76"/>
      <c r="G82" s="76"/>
      <c r="H82" s="76"/>
      <c r="I82" s="37">
        <v>22192</v>
      </c>
      <c r="J82" s="35"/>
      <c r="K82" s="35"/>
      <c r="L82" s="35"/>
      <c r="M82" s="35"/>
      <c r="N82" s="35"/>
    </row>
    <row r="83" spans="1:14" ht="24">
      <c r="A83" s="76" t="s">
        <v>171</v>
      </c>
      <c r="B83" s="76"/>
      <c r="C83" s="76"/>
      <c r="D83" s="76"/>
      <c r="E83" s="76"/>
      <c r="F83" s="76"/>
      <c r="G83" s="76"/>
      <c r="H83" s="76"/>
      <c r="I83" s="37">
        <v>62996</v>
      </c>
      <c r="J83" s="35"/>
      <c r="K83" s="35"/>
      <c r="L83" s="35"/>
      <c r="M83" s="35"/>
      <c r="N83" s="35" t="s">
        <v>229</v>
      </c>
    </row>
    <row r="84" spans="1:14" ht="12">
      <c r="A84" s="76" t="s">
        <v>172</v>
      </c>
      <c r="B84" s="76"/>
      <c r="C84" s="76"/>
      <c r="D84" s="76"/>
      <c r="E84" s="76"/>
      <c r="F84" s="76"/>
      <c r="G84" s="76"/>
      <c r="H84" s="76"/>
      <c r="I84" s="37"/>
      <c r="J84" s="35"/>
      <c r="K84" s="35"/>
      <c r="L84" s="35"/>
      <c r="M84" s="35"/>
      <c r="N84" s="35"/>
    </row>
    <row r="85" spans="1:14" ht="12">
      <c r="A85" s="76" t="s">
        <v>173</v>
      </c>
      <c r="B85" s="76"/>
      <c r="C85" s="76"/>
      <c r="D85" s="76"/>
      <c r="E85" s="76"/>
      <c r="F85" s="76"/>
      <c r="G85" s="76"/>
      <c r="H85" s="76"/>
      <c r="I85" s="37">
        <v>28570</v>
      </c>
      <c r="J85" s="35"/>
      <c r="K85" s="35"/>
      <c r="L85" s="35"/>
      <c r="M85" s="35"/>
      <c r="N85" s="35"/>
    </row>
    <row r="86" spans="1:14" ht="12">
      <c r="A86" s="76" t="s">
        <v>174</v>
      </c>
      <c r="B86" s="76"/>
      <c r="C86" s="76"/>
      <c r="D86" s="76"/>
      <c r="E86" s="76"/>
      <c r="F86" s="76"/>
      <c r="G86" s="76"/>
      <c r="H86" s="76"/>
      <c r="I86" s="37">
        <v>2697</v>
      </c>
      <c r="J86" s="35"/>
      <c r="K86" s="35"/>
      <c r="L86" s="35"/>
      <c r="M86" s="35"/>
      <c r="N86" s="35"/>
    </row>
    <row r="87" spans="1:14" ht="12">
      <c r="A87" s="76" t="s">
        <v>175</v>
      </c>
      <c r="B87" s="76"/>
      <c r="C87" s="76"/>
      <c r="D87" s="76"/>
      <c r="E87" s="76"/>
      <c r="F87" s="76"/>
      <c r="G87" s="76"/>
      <c r="H87" s="76"/>
      <c r="I87" s="37">
        <v>13702</v>
      </c>
      <c r="J87" s="35"/>
      <c r="K87" s="35"/>
      <c r="L87" s="35"/>
      <c r="M87" s="35"/>
      <c r="N87" s="35"/>
    </row>
    <row r="88" spans="1:14" ht="12">
      <c r="A88" s="76" t="s">
        <v>177</v>
      </c>
      <c r="B88" s="76"/>
      <c r="C88" s="76"/>
      <c r="D88" s="76"/>
      <c r="E88" s="76"/>
      <c r="F88" s="76"/>
      <c r="G88" s="76"/>
      <c r="H88" s="76"/>
      <c r="I88" s="37">
        <v>11099</v>
      </c>
      <c r="J88" s="35"/>
      <c r="K88" s="35"/>
      <c r="L88" s="35"/>
      <c r="M88" s="35"/>
      <c r="N88" s="35"/>
    </row>
    <row r="89" spans="1:14" ht="12">
      <c r="A89" s="76" t="s">
        <v>178</v>
      </c>
      <c r="B89" s="76"/>
      <c r="C89" s="76"/>
      <c r="D89" s="76"/>
      <c r="E89" s="76"/>
      <c r="F89" s="76"/>
      <c r="G89" s="76"/>
      <c r="H89" s="76"/>
      <c r="I89" s="37">
        <v>7125</v>
      </c>
      <c r="J89" s="35"/>
      <c r="K89" s="35"/>
      <c r="L89" s="35"/>
      <c r="M89" s="35"/>
      <c r="N89" s="35"/>
    </row>
    <row r="90" spans="1:14" ht="24">
      <c r="A90" s="75" t="s">
        <v>234</v>
      </c>
      <c r="B90" s="75"/>
      <c r="C90" s="75"/>
      <c r="D90" s="75"/>
      <c r="E90" s="75"/>
      <c r="F90" s="75"/>
      <c r="G90" s="75"/>
      <c r="H90" s="75"/>
      <c r="I90" s="37">
        <v>62996</v>
      </c>
      <c r="J90" s="35"/>
      <c r="K90" s="35"/>
      <c r="L90" s="35"/>
      <c r="M90" s="35"/>
      <c r="N90" s="35" t="s">
        <v>229</v>
      </c>
    </row>
    <row r="91" spans="1:14" ht="24">
      <c r="A91" s="77" t="s">
        <v>235</v>
      </c>
      <c r="B91" s="76"/>
      <c r="C91" s="76"/>
      <c r="D91" s="76"/>
      <c r="E91" s="76"/>
      <c r="F91" s="76"/>
      <c r="G91" s="76"/>
      <c r="H91" s="76"/>
      <c r="I91" s="38">
        <v>52000</v>
      </c>
      <c r="J91" s="38">
        <v>2160</v>
      </c>
      <c r="K91" s="38" t="s">
        <v>236</v>
      </c>
      <c r="L91" s="38">
        <v>37705</v>
      </c>
      <c r="M91" s="38"/>
      <c r="N91" s="38" t="s">
        <v>237</v>
      </c>
    </row>
    <row r="92" spans="1:14" ht="24">
      <c r="A92" s="77" t="s">
        <v>238</v>
      </c>
      <c r="B92" s="76"/>
      <c r="C92" s="76"/>
      <c r="D92" s="76"/>
      <c r="E92" s="76"/>
      <c r="F92" s="76"/>
      <c r="G92" s="76"/>
      <c r="H92" s="76"/>
      <c r="I92" s="38">
        <v>308772</v>
      </c>
      <c r="J92" s="38">
        <v>35532</v>
      </c>
      <c r="K92" s="38" t="s">
        <v>239</v>
      </c>
      <c r="L92" s="38">
        <v>212887</v>
      </c>
      <c r="M92" s="38"/>
      <c r="N92" s="38" t="s">
        <v>237</v>
      </c>
    </row>
    <row r="93" spans="1:14" ht="12">
      <c r="A93" s="77" t="s">
        <v>166</v>
      </c>
      <c r="B93" s="76"/>
      <c r="C93" s="76"/>
      <c r="D93" s="76"/>
      <c r="E93" s="76"/>
      <c r="F93" s="76"/>
      <c r="G93" s="76"/>
      <c r="H93" s="76"/>
      <c r="I93" s="38">
        <v>33318</v>
      </c>
      <c r="J93" s="38"/>
      <c r="K93" s="38"/>
      <c r="L93" s="38"/>
      <c r="M93" s="38"/>
      <c r="N93" s="38"/>
    </row>
    <row r="94" spans="1:14" ht="12">
      <c r="A94" s="77" t="s">
        <v>167</v>
      </c>
      <c r="B94" s="76"/>
      <c r="C94" s="76"/>
      <c r="D94" s="76"/>
      <c r="E94" s="76"/>
      <c r="F94" s="76"/>
      <c r="G94" s="76"/>
      <c r="H94" s="76"/>
      <c r="I94" s="38">
        <v>21432</v>
      </c>
      <c r="J94" s="38"/>
      <c r="K94" s="38"/>
      <c r="L94" s="38"/>
      <c r="M94" s="38"/>
      <c r="N94" s="38"/>
    </row>
    <row r="95" spans="1:14" ht="12">
      <c r="A95" s="78" t="s">
        <v>240</v>
      </c>
      <c r="B95" s="75"/>
      <c r="C95" s="75"/>
      <c r="D95" s="75"/>
      <c r="E95" s="75"/>
      <c r="F95" s="75"/>
      <c r="G95" s="75"/>
      <c r="H95" s="75"/>
      <c r="I95" s="38"/>
      <c r="J95" s="38"/>
      <c r="K95" s="38"/>
      <c r="L95" s="38"/>
      <c r="M95" s="38"/>
      <c r="N95" s="38"/>
    </row>
    <row r="96" spans="1:14" ht="24">
      <c r="A96" s="77" t="s">
        <v>169</v>
      </c>
      <c r="B96" s="76"/>
      <c r="C96" s="76"/>
      <c r="D96" s="76"/>
      <c r="E96" s="76"/>
      <c r="F96" s="76"/>
      <c r="G96" s="76"/>
      <c r="H96" s="76"/>
      <c r="I96" s="38">
        <v>335673</v>
      </c>
      <c r="J96" s="38"/>
      <c r="K96" s="38"/>
      <c r="L96" s="38"/>
      <c r="M96" s="38"/>
      <c r="N96" s="38" t="s">
        <v>237</v>
      </c>
    </row>
    <row r="97" spans="1:14" ht="12">
      <c r="A97" s="77" t="s">
        <v>170</v>
      </c>
      <c r="B97" s="76"/>
      <c r="C97" s="76"/>
      <c r="D97" s="76"/>
      <c r="E97" s="76"/>
      <c r="F97" s="76"/>
      <c r="G97" s="76"/>
      <c r="H97" s="76"/>
      <c r="I97" s="38">
        <v>27849</v>
      </c>
      <c r="J97" s="38"/>
      <c r="K97" s="38"/>
      <c r="L97" s="38"/>
      <c r="M97" s="38"/>
      <c r="N97" s="38"/>
    </row>
    <row r="98" spans="1:14" ht="24">
      <c r="A98" s="77" t="s">
        <v>171</v>
      </c>
      <c r="B98" s="76"/>
      <c r="C98" s="76"/>
      <c r="D98" s="76"/>
      <c r="E98" s="76"/>
      <c r="F98" s="76"/>
      <c r="G98" s="76"/>
      <c r="H98" s="76"/>
      <c r="I98" s="38">
        <v>363522</v>
      </c>
      <c r="J98" s="38"/>
      <c r="K98" s="38"/>
      <c r="L98" s="38"/>
      <c r="M98" s="38"/>
      <c r="N98" s="38" t="s">
        <v>237</v>
      </c>
    </row>
    <row r="99" spans="1:14" ht="12">
      <c r="A99" s="77" t="s">
        <v>172</v>
      </c>
      <c r="B99" s="76"/>
      <c r="C99" s="76"/>
      <c r="D99" s="76"/>
      <c r="E99" s="76"/>
      <c r="F99" s="76"/>
      <c r="G99" s="76"/>
      <c r="H99" s="76"/>
      <c r="I99" s="38"/>
      <c r="J99" s="38"/>
      <c r="K99" s="38"/>
      <c r="L99" s="38"/>
      <c r="M99" s="38"/>
      <c r="N99" s="38"/>
    </row>
    <row r="100" spans="1:14" ht="12">
      <c r="A100" s="77" t="s">
        <v>173</v>
      </c>
      <c r="B100" s="76"/>
      <c r="C100" s="76"/>
      <c r="D100" s="76"/>
      <c r="E100" s="76"/>
      <c r="F100" s="76"/>
      <c r="G100" s="76"/>
      <c r="H100" s="76"/>
      <c r="I100" s="38">
        <v>212887</v>
      </c>
      <c r="J100" s="38"/>
      <c r="K100" s="38"/>
      <c r="L100" s="38"/>
      <c r="M100" s="38"/>
      <c r="N100" s="38"/>
    </row>
    <row r="101" spans="1:14" ht="12">
      <c r="A101" s="77" t="s">
        <v>174</v>
      </c>
      <c r="B101" s="76"/>
      <c r="C101" s="76"/>
      <c r="D101" s="76"/>
      <c r="E101" s="76"/>
      <c r="F101" s="76"/>
      <c r="G101" s="76"/>
      <c r="H101" s="76"/>
      <c r="I101" s="38">
        <v>32504</v>
      </c>
      <c r="J101" s="38"/>
      <c r="K101" s="38"/>
      <c r="L101" s="38"/>
      <c r="M101" s="38"/>
      <c r="N101" s="38"/>
    </row>
    <row r="102" spans="1:14" ht="12">
      <c r="A102" s="77" t="s">
        <v>175</v>
      </c>
      <c r="B102" s="76"/>
      <c r="C102" s="76"/>
      <c r="D102" s="76"/>
      <c r="E102" s="76"/>
      <c r="F102" s="76"/>
      <c r="G102" s="76"/>
      <c r="H102" s="76"/>
      <c r="I102" s="38">
        <v>41289</v>
      </c>
      <c r="J102" s="38"/>
      <c r="K102" s="38"/>
      <c r="L102" s="38"/>
      <c r="M102" s="38"/>
      <c r="N102" s="38"/>
    </row>
    <row r="103" spans="1:14" ht="12">
      <c r="A103" s="77" t="s">
        <v>176</v>
      </c>
      <c r="B103" s="76"/>
      <c r="C103" s="76"/>
      <c r="D103" s="76"/>
      <c r="E103" s="76"/>
      <c r="F103" s="76"/>
      <c r="G103" s="76"/>
      <c r="H103" s="76"/>
      <c r="I103" s="38">
        <v>27849</v>
      </c>
      <c r="J103" s="38"/>
      <c r="K103" s="38"/>
      <c r="L103" s="38"/>
      <c r="M103" s="38"/>
      <c r="N103" s="38"/>
    </row>
    <row r="104" spans="1:14" ht="12">
      <c r="A104" s="77" t="s">
        <v>177</v>
      </c>
      <c r="B104" s="76"/>
      <c r="C104" s="76"/>
      <c r="D104" s="76"/>
      <c r="E104" s="76"/>
      <c r="F104" s="76"/>
      <c r="G104" s="76"/>
      <c r="H104" s="76"/>
      <c r="I104" s="38">
        <v>33318</v>
      </c>
      <c r="J104" s="38"/>
      <c r="K104" s="38"/>
      <c r="L104" s="38"/>
      <c r="M104" s="38"/>
      <c r="N104" s="38"/>
    </row>
    <row r="105" spans="1:14" ht="12">
      <c r="A105" s="77" t="s">
        <v>178</v>
      </c>
      <c r="B105" s="76"/>
      <c r="C105" s="76"/>
      <c r="D105" s="76"/>
      <c r="E105" s="76"/>
      <c r="F105" s="76"/>
      <c r="G105" s="76"/>
      <c r="H105" s="76"/>
      <c r="I105" s="38">
        <v>21432</v>
      </c>
      <c r="J105" s="38"/>
      <c r="K105" s="38"/>
      <c r="L105" s="38"/>
      <c r="M105" s="38"/>
      <c r="N105" s="38"/>
    </row>
    <row r="106" spans="1:14" ht="24">
      <c r="A106" s="78" t="s">
        <v>247</v>
      </c>
      <c r="B106" s="75"/>
      <c r="C106" s="75"/>
      <c r="D106" s="75"/>
      <c r="E106" s="75"/>
      <c r="F106" s="75"/>
      <c r="G106" s="75"/>
      <c r="H106" s="75"/>
      <c r="I106" s="38">
        <v>363522</v>
      </c>
      <c r="J106" s="38"/>
      <c r="K106" s="38"/>
      <c r="L106" s="38"/>
      <c r="M106" s="38"/>
      <c r="N106" s="38" t="s">
        <v>237</v>
      </c>
    </row>
    <row r="107" spans="1:14" ht="12">
      <c r="A107" s="44"/>
      <c r="B107" s="79" t="s">
        <v>248</v>
      </c>
      <c r="C107" s="79"/>
      <c r="D107" s="45"/>
      <c r="E107" s="45"/>
      <c r="F107" s="45"/>
      <c r="G107" s="45"/>
      <c r="H107" s="46"/>
      <c r="I107" s="54">
        <v>7270</v>
      </c>
      <c r="J107" s="38"/>
      <c r="K107" s="47"/>
      <c r="L107" s="38"/>
      <c r="M107" s="47"/>
      <c r="N107" s="38"/>
    </row>
    <row r="108" spans="1:14" ht="12">
      <c r="A108" s="80" t="s">
        <v>171</v>
      </c>
      <c r="B108" s="81"/>
      <c r="C108" s="42"/>
      <c r="D108" s="42"/>
      <c r="E108" s="42"/>
      <c r="F108" s="42"/>
      <c r="G108" s="42"/>
      <c r="H108" s="43"/>
      <c r="I108" s="54">
        <v>370792</v>
      </c>
      <c r="J108" s="38"/>
      <c r="K108" s="47"/>
      <c r="L108" s="38"/>
      <c r="M108" s="47"/>
      <c r="N108" s="38"/>
    </row>
    <row r="109" spans="1:14" ht="12" customHeight="1">
      <c r="A109" s="80" t="s">
        <v>251</v>
      </c>
      <c r="B109" s="81"/>
      <c r="C109" s="81"/>
      <c r="D109" s="42"/>
      <c r="E109" s="42"/>
      <c r="F109" s="42"/>
      <c r="G109" s="42"/>
      <c r="H109" s="43"/>
      <c r="I109" s="85">
        <v>352088.57</v>
      </c>
      <c r="J109" s="38"/>
      <c r="K109" s="47"/>
      <c r="L109" s="38"/>
      <c r="M109" s="47"/>
      <c r="N109" s="38"/>
    </row>
    <row r="110" spans="1:14" ht="12">
      <c r="A110" s="48"/>
      <c r="B110" s="45" t="s">
        <v>249</v>
      </c>
      <c r="C110" s="45"/>
      <c r="D110" s="49"/>
      <c r="E110" s="50"/>
      <c r="F110" s="50"/>
      <c r="G110" s="50"/>
      <c r="H110" s="51"/>
      <c r="I110" s="52">
        <v>63375.95</v>
      </c>
      <c r="J110" s="35"/>
      <c r="K110" s="50"/>
      <c r="L110" s="35"/>
      <c r="M110" s="50"/>
      <c r="N110" s="53"/>
    </row>
    <row r="111" spans="1:14" ht="12">
      <c r="A111" s="82" t="s">
        <v>250</v>
      </c>
      <c r="B111" s="83"/>
      <c r="C111" s="45"/>
      <c r="D111" s="49"/>
      <c r="E111" s="50"/>
      <c r="F111" s="50"/>
      <c r="G111" s="50"/>
      <c r="H111" s="51"/>
      <c r="I111" s="55">
        <v>415464.52</v>
      </c>
      <c r="J111" s="35"/>
      <c r="K111" s="50"/>
      <c r="L111" s="35"/>
      <c r="M111" s="50"/>
      <c r="N111" s="53"/>
    </row>
    <row r="112" spans="1:13" ht="12">
      <c r="A112" s="39"/>
      <c r="B112" s="40"/>
      <c r="C112" s="41" t="s">
        <v>246</v>
      </c>
      <c r="D112" s="39"/>
      <c r="E112" s="28"/>
      <c r="F112" s="41" t="s">
        <v>25</v>
      </c>
      <c r="G112" s="41"/>
      <c r="H112" s="41"/>
      <c r="I112" s="28"/>
      <c r="J112" s="28"/>
      <c r="K112" s="28"/>
      <c r="L112" s="28"/>
      <c r="M112" s="28"/>
    </row>
    <row r="116" ht="12">
      <c r="C116" s="84"/>
    </row>
  </sheetData>
  <sheetProtection/>
  <mergeCells count="70">
    <mergeCell ref="B107:C107"/>
    <mergeCell ref="A108:B108"/>
    <mergeCell ref="A111:B111"/>
    <mergeCell ref="A106:H106"/>
    <mergeCell ref="A102:H102"/>
    <mergeCell ref="A103:H103"/>
    <mergeCell ref="A104:H104"/>
    <mergeCell ref="A105:H105"/>
    <mergeCell ref="A109:C109"/>
    <mergeCell ref="A98:H98"/>
    <mergeCell ref="A99:H99"/>
    <mergeCell ref="A100:H100"/>
    <mergeCell ref="A101:H101"/>
    <mergeCell ref="A94:H94"/>
    <mergeCell ref="A95:H95"/>
    <mergeCell ref="A96:H96"/>
    <mergeCell ref="A97:H97"/>
    <mergeCell ref="A90:H90"/>
    <mergeCell ref="A91:H91"/>
    <mergeCell ref="A92:H92"/>
    <mergeCell ref="A93:H93"/>
    <mergeCell ref="A86:H86"/>
    <mergeCell ref="A87:H87"/>
    <mergeCell ref="A88:H88"/>
    <mergeCell ref="A89:H89"/>
    <mergeCell ref="A82:H82"/>
    <mergeCell ref="A83:H83"/>
    <mergeCell ref="A84:H84"/>
    <mergeCell ref="A85:H85"/>
    <mergeCell ref="A78:H78"/>
    <mergeCell ref="A79:H79"/>
    <mergeCell ref="A80:H80"/>
    <mergeCell ref="A81:H81"/>
    <mergeCell ref="A65:H65"/>
    <mergeCell ref="A66:N66"/>
    <mergeCell ref="A76:H76"/>
    <mergeCell ref="A77:H77"/>
    <mergeCell ref="A61:H61"/>
    <mergeCell ref="A62:H62"/>
    <mergeCell ref="A63:H63"/>
    <mergeCell ref="A64:H64"/>
    <mergeCell ref="C15:C18"/>
    <mergeCell ref="A57:H57"/>
    <mergeCell ref="A58:H58"/>
    <mergeCell ref="A59:H59"/>
    <mergeCell ref="A60:H60"/>
    <mergeCell ref="A53:H53"/>
    <mergeCell ref="A54:H54"/>
    <mergeCell ref="A55:H55"/>
    <mergeCell ref="A56:H56"/>
    <mergeCell ref="H15:H18"/>
    <mergeCell ref="A20:N20"/>
    <mergeCell ref="A50:H50"/>
    <mergeCell ref="A51:H51"/>
    <mergeCell ref="A52:H52"/>
    <mergeCell ref="J17:J18"/>
    <mergeCell ref="L17:L18"/>
    <mergeCell ref="N17:N18"/>
    <mergeCell ref="A15:A18"/>
    <mergeCell ref="D15:D18"/>
    <mergeCell ref="I17:I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Власкина Юлия Викторовна</cp:lastModifiedBy>
  <cp:lastPrinted>2015-07-28T09:49:49Z</cp:lastPrinted>
  <dcterms:created xsi:type="dcterms:W3CDTF">2003-01-28T12:33:10Z</dcterms:created>
  <dcterms:modified xsi:type="dcterms:W3CDTF">2015-08-19T07:37:30Z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