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Новгородская, 20\"/>
    </mc:Choice>
  </mc:AlternateContent>
  <bookViews>
    <workbookView xWindow="0" yWindow="60" windowWidth="7500" windowHeight="4245" activeTab="1"/>
  </bookViews>
  <sheets>
    <sheet name="Лок.См.Расч.Баз.-Инд.Методом" sheetId="5" r:id="rId1"/>
    <sheet name="Лист1" sheetId="6" r:id="rId2"/>
  </sheets>
  <definedNames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_xlnm.Print_Titles" localSheetId="0">'Лок.См.Расч.Баз.-Инд.Методом'!$15:$18</definedName>
    <definedName name="Заказч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_xlnm.Print_Area" localSheetId="0">'Лок.См.Расч.Баз.-Инд.Методом'!$A$1:$N$107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нование_поправки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снование">#REF!</definedName>
    <definedName name="Отчетный_период__учет_выполненных_работ">#REF!</definedName>
    <definedName name="Проверил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Районный_к_т_к_ЗП">#REF!</definedName>
    <definedName name="Районный_к_т_к_ЗП_по_ресурсному_расчету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оставил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Территориальная_поправка_к_ТЕР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</definedNames>
  <calcPr calcId="152511"/>
</workbook>
</file>

<file path=xl/calcChain.xml><?xml version="1.0" encoding="utf-8"?>
<calcChain xmlns="http://schemas.openxmlformats.org/spreadsheetml/2006/main">
  <c r="L70" i="5" l="1"/>
  <c r="AI70" i="5"/>
  <c r="L71" i="5"/>
  <c r="AI71" i="5"/>
  <c r="L72" i="5"/>
  <c r="AI72" i="5"/>
  <c r="L73" i="5"/>
  <c r="AI73" i="5"/>
  <c r="L74" i="5"/>
  <c r="AI74" i="5"/>
  <c r="L75" i="5"/>
  <c r="AI75" i="5"/>
  <c r="L76" i="5"/>
  <c r="AI76" i="5"/>
  <c r="L77" i="5"/>
  <c r="AI77" i="5"/>
  <c r="L78" i="5"/>
  <c r="AI78" i="5"/>
  <c r="L79" i="5"/>
  <c r="AI79" i="5"/>
  <c r="L80" i="5"/>
  <c r="AI80" i="5"/>
  <c r="L81" i="5"/>
  <c r="AI81" i="5"/>
  <c r="L82" i="5"/>
  <c r="AI82" i="5"/>
  <c r="L83" i="5"/>
  <c r="AI83" i="5"/>
  <c r="L84" i="5"/>
  <c r="AI84" i="5"/>
  <c r="L58" i="5"/>
  <c r="AI58" i="5"/>
  <c r="L59" i="5"/>
  <c r="AI59" i="5"/>
  <c r="L60" i="5"/>
  <c r="AI60" i="5"/>
  <c r="L61" i="5"/>
  <c r="AI61" i="5"/>
  <c r="L62" i="5"/>
  <c r="AI62" i="5"/>
  <c r="L63" i="5"/>
  <c r="AI63" i="5"/>
  <c r="L64" i="5"/>
  <c r="AI64" i="5"/>
  <c r="L65" i="5"/>
  <c r="AI65" i="5"/>
  <c r="L45" i="5"/>
  <c r="AI45" i="5"/>
  <c r="L46" i="5"/>
  <c r="AI46" i="5"/>
  <c r="L47" i="5"/>
  <c r="AI47" i="5"/>
  <c r="L48" i="5"/>
  <c r="AI48" i="5"/>
  <c r="L49" i="5"/>
  <c r="AI49" i="5"/>
  <c r="L50" i="5"/>
  <c r="AI50" i="5"/>
  <c r="L51" i="5"/>
  <c r="AI51" i="5"/>
  <c r="L21" i="5"/>
  <c r="AI21" i="5"/>
  <c r="L22" i="5"/>
  <c r="AI22" i="5"/>
  <c r="L23" i="5"/>
  <c r="AI23" i="5"/>
  <c r="L24" i="5"/>
  <c r="AI24" i="5"/>
  <c r="L25" i="5"/>
  <c r="AI25" i="5"/>
  <c r="L26" i="5"/>
  <c r="AI26" i="5"/>
  <c r="L27" i="5"/>
  <c r="AI27" i="5"/>
  <c r="L28" i="5"/>
  <c r="AI28" i="5"/>
  <c r="L29" i="5"/>
  <c r="AI29" i="5"/>
  <c r="L30" i="5"/>
  <c r="AI30" i="5"/>
  <c r="L31" i="5"/>
  <c r="AI31" i="5"/>
  <c r="L32" i="5"/>
  <c r="AI32" i="5"/>
  <c r="L33" i="5"/>
  <c r="AI33" i="5"/>
  <c r="L34" i="5"/>
  <c r="AI34" i="5"/>
  <c r="L35" i="5"/>
  <c r="AI35" i="5"/>
  <c r="L36" i="5"/>
  <c r="AI36" i="5"/>
  <c r="L37" i="5"/>
  <c r="AI37" i="5"/>
  <c r="L38" i="5"/>
  <c r="AI38" i="5"/>
  <c r="C49" i="5"/>
  <c r="C80" i="5"/>
  <c r="C78" i="5"/>
  <c r="C36" i="5"/>
  <c r="C51" i="5"/>
  <c r="C50" i="5"/>
  <c r="C29" i="5"/>
  <c r="C79" i="5"/>
  <c r="C27" i="5"/>
  <c r="C60" i="5"/>
  <c r="C83" i="5"/>
  <c r="C81" i="5"/>
  <c r="C35" i="5"/>
  <c r="C64" i="5"/>
  <c r="C33" i="5"/>
  <c r="C46" i="5"/>
  <c r="C47" i="5"/>
  <c r="C59" i="5"/>
  <c r="C34" i="5"/>
  <c r="C48" i="5"/>
  <c r="C37" i="5"/>
  <c r="C38" i="5"/>
  <c r="C76" i="5"/>
  <c r="C71" i="5"/>
  <c r="C23" i="5"/>
  <c r="C73" i="5"/>
  <c r="C21" i="5"/>
  <c r="C82" i="5"/>
  <c r="C77" i="5"/>
  <c r="C75" i="5"/>
  <c r="C61" i="5"/>
  <c r="C84" i="5"/>
  <c r="C65" i="5"/>
  <c r="C26" i="5"/>
  <c r="C31" i="5"/>
  <c r="C24" i="5"/>
  <c r="C22" i="5"/>
  <c r="C62" i="5"/>
  <c r="C25" i="5"/>
  <c r="C32" i="5"/>
  <c r="C70" i="5"/>
  <c r="C30" i="5"/>
  <c r="C63" i="5"/>
  <c r="C74" i="5"/>
  <c r="C72" i="5"/>
  <c r="C28" i="5"/>
  <c r="C45" i="5"/>
  <c r="C58" i="5"/>
</calcChain>
</file>

<file path=xl/comments1.xml><?xml version="1.0" encoding="utf-8"?>
<comments xmlns="http://schemas.openxmlformats.org/spreadsheetml/2006/main">
  <authors>
    <author>1</author>
    <author>Proba</author>
    <author>&lt;&gt;</author>
    <author>wall</author>
    <author>Rus</author>
    <author>Alex</author>
    <author>YuKazaeva</author>
  </authors>
  <commentList>
    <comment ref="A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240 значение&gt;
&lt;подпись 240 атрибут 800 значение&gt;
ИНН/КПП &lt;подпись 240 атрибут 830 значение&gt;/&lt;подпись 240 атрибут 840 значение&gt;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230 значение&gt;
&lt;подпись 230 атрибут 800 значение&gt;
ИНН/КПП &lt;подпись 230 атрибут 830 значение&gt;/&lt;подпись 230 атрибут 840 значение&gt;</t>
        </r>
      </text>
    </comment>
    <comment ref="D7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локальной сметы&gt;, &lt;Наименование объекта&gt;</t>
        </r>
      </text>
    </comment>
    <comment ref="A10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&lt;Основание&gt;
</t>
        </r>
      </text>
    </comment>
    <comment ref="C11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по расчету&gt;</t>
        </r>
      </text>
    </comment>
    <comment ref="D12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A19" authorId="2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19" authorId="2" shapeId="0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ПЗ=&lt;К-т к позиции на прямые затраты&gt;
ОЗП=&lt;К-т к позиции на основную з/п&gt;
ЭМ=&lt;К-т к позиции на эксплуатацию машин&gt;
ЗПМ=&lt;К-т к позиции на з/п машинистов&gt;
МАТ=&lt;К-т к позиции на материалы&gt;
ТЗ=&lt;К-т к позиции на трудозатраты рабочих&gt;
ТЗМ=&lt;К-т к позиции на трудозатраты механизаторов&gt;
&lt;Примечание&gt;</t>
        </r>
      </text>
    </comment>
    <comment ref="C19" authorId="2" shapeId="0">
      <text>
        <r>
          <rPr>
            <sz val="14"/>
            <color indexed="81"/>
            <rFont val="Tahoma"/>
            <family val="2"/>
            <charset val="204"/>
          </rPr>
          <t xml:space="preserve"> =INDIRECT("</t>
        </r>
        <r>
          <rPr>
            <b/>
            <sz val="14"/>
            <color indexed="81"/>
            <rFont val="Tahoma"/>
            <family val="2"/>
            <charset val="204"/>
          </rPr>
          <t>AF</t>
        </r>
        <r>
          <rPr>
            <sz val="14"/>
            <color indexed="81"/>
            <rFont val="Tahoma"/>
            <family val="2"/>
            <charset val="204"/>
          </rPr>
          <t>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руб.)")&amp;Char(10)&amp;Char(10)&lt;Пустой идентификатор&gt;</t>
        </r>
      </text>
    </comment>
    <comment ref="D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
&lt;Формула расчета физ. объема&gt;</t>
        </r>
      </text>
    </comment>
    <comment ref="E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</t>
        </r>
        <r>
          <rPr>
            <b/>
            <sz val="8"/>
            <color indexed="81"/>
            <rFont val="Tahoma"/>
            <family val="2"/>
            <charset val="204"/>
          </rPr>
          <t xml:space="preserve">
&lt;ОЗП по позиции на единицу в базисных ценах с учетом всех к-тов&gt;</t>
        </r>
      </text>
    </comment>
    <comment ref="F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к-тов&gt;
&lt;ЗПМ по позиции на единицу в базисных ценах с учетом всех к-тов&gt;</t>
        </r>
      </text>
    </comment>
    <comment ref="G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19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индекса к позиции&gt;: ОЗП=&lt;Индекс к позиции на ОЗП&gt;; ЭМ=&lt;Индекс к позиции на ЭМ&gt;; ЗПМ=&lt;Индекс к позиции на ЗПМ&gt;; МАТ=&lt;Индекс к позиции на МАТ&gt;
&lt;Дополнительные начисления к индексу&gt;</t>
        </r>
      </text>
    </comment>
    <comment ref="I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&lt;Общая стоимость ПЗ по позиции для БИМ до начисления НР и СП&gt;
</t>
        </r>
      </text>
    </comment>
    <comment ref="J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ОЗП по позиции для БИМ до начисления НР и СП&gt;
</t>
        </r>
      </text>
    </comment>
    <comment ref="K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ЭММ по позиции для БИМ до начисления НР и СП&gt;
&lt;Общая стоимость ЗПМ по позиции для БИМ до начисления НР и СП&gt;</t>
        </r>
      </text>
    </comment>
    <comment ref="L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=IF(&lt;Количество всего (физ. объем) по позиции&gt;*&lt;МАТ по позиции на единицу в базисных ценах с учетом всех к-тов&gt;=0," ",TEXT(,ROUND((&lt;Количество всего (физ. объем) по позиции&gt;*&lt;МАТ по позиции на единицу в базисных ценах с учетом всех к-тов&gt;*&lt;Индекс к позиции на МАТ&gt;),2)))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&lt;ТЗМ по позиции на единицу&gt;</t>
        </r>
      </text>
    </comment>
    <comment ref="N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&lt;ТЗМ по позиции всего&gt;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A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НР для БИМ&gt;</t>
        </r>
      </text>
    </comment>
    <comment ref="AB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СП для БИМ&gt;</t>
        </r>
      </text>
    </comment>
    <comment ref="AC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НР по позиции для БИМ&gt;</t>
        </r>
      </text>
    </comment>
    <comment ref="AD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СП по позиции для БИМ&gt;</t>
        </r>
      </text>
    </comment>
    <comment ref="AE19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&lt;Обоснование коэффициентов&gt;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F19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G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&lt;Ед. измерения по расценке&gt;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H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&lt;Формула расчета стоимости единицы&gt;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I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=&lt;Общая стоимость ОЗП по позиции для БИМ до начисления НР и СП&gt;+&lt;Общая стоимость ЗПМ по позиции для БИМ до начисления НР и СП&gt;
</t>
        </r>
      </text>
    </comment>
    <comment ref="A88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88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88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88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&lt;З/п машинистов (итоги)&gt;</t>
        </r>
      </text>
    </comment>
    <comment ref="L88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N88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&lt;Трудозатраты машинистов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07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______________&lt;Составил&gt;</t>
        </r>
      </text>
    </comment>
    <comment ref="F107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______________&lt;Проверил&gt;</t>
        </r>
      </text>
    </comment>
  </commentList>
</comments>
</file>

<file path=xl/comments2.xml><?xml version="1.0" encoding="utf-8"?>
<comments xmlns="http://schemas.openxmlformats.org/spreadsheetml/2006/main">
  <authors>
    <author>1</author>
    <author>Proba</author>
    <author>&lt;&gt;</author>
    <author>wall</author>
    <author>Rus</author>
  </authors>
  <commentList>
    <comment ref="A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240 значение&gt;
&lt;подпись 240 атрибут 800 значение&gt;
ИНН/КПП &lt;подпись 240 атрибут 830 значение&gt;/&lt;подпись 240 атрибут 840 значение&gt;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230 значение&gt;
&lt;подпись 230 атрибут 800 значение&gt;
ИНН/КПП &lt;подпись 230 атрибут 830 значение&gt;/&lt;подпись 230 атрибут 840 значение&gt;</t>
        </r>
      </text>
    </comment>
    <comment ref="D7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локальной сметы&gt;, &lt;Наименование объекта&gt;</t>
        </r>
      </text>
    </comment>
    <comment ref="A10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&lt;Основание&gt;
</t>
        </r>
      </text>
    </comment>
    <comment ref="C11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по расчету&gt;</t>
        </r>
      </text>
    </comment>
    <comment ref="D12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A19" authorId="2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19" authorId="2" shapeId="0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ПЗ=&lt;К-т к позиции на прямые затраты&gt;
ОЗП=&lt;К-т к позиции на основную з/п&gt;
ЭМ=&lt;К-т к позиции на эксплуатацию машин&gt;
ЗПМ=&lt;К-т к позиции на з/п машинистов&gt;
МАТ=&lt;К-т к позиции на материалы&gt;
ТЗ=&lt;К-т к позиции на трудозатраты рабочих&gt;
ТЗМ=&lt;К-т к позиции на трудозатраты механизаторов&gt;
&lt;Примечание&gt;</t>
        </r>
      </text>
    </comment>
    <comment ref="C19" authorId="2" shapeId="0">
      <text>
        <r>
          <rPr>
            <sz val="14"/>
            <color indexed="81"/>
            <rFont val="Tahoma"/>
            <family val="2"/>
            <charset val="204"/>
          </rPr>
          <t xml:space="preserve"> =INDIRECT("</t>
        </r>
        <r>
          <rPr>
            <b/>
            <sz val="14"/>
            <color indexed="81"/>
            <rFont val="Tahoma"/>
            <family val="2"/>
            <charset val="204"/>
          </rPr>
          <t>AF</t>
        </r>
        <r>
          <rPr>
            <sz val="14"/>
            <color indexed="81"/>
            <rFont val="Tahoma"/>
            <family val="2"/>
            <charset val="204"/>
          </rPr>
          <t>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руб.)")&amp;Char(10)&amp;Char(10)&lt;Пустой идентификатор&gt;</t>
        </r>
      </text>
    </comment>
    <comment ref="D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
&lt;Формула расчета физ. объема&gt;</t>
        </r>
      </text>
    </comment>
    <comment ref="E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</t>
        </r>
        <r>
          <rPr>
            <b/>
            <sz val="8"/>
            <color indexed="81"/>
            <rFont val="Tahoma"/>
            <family val="2"/>
            <charset val="204"/>
          </rPr>
          <t xml:space="preserve">
&lt;ОЗП по позиции на единицу в базисных ценах с учетом всех к-тов&gt;</t>
        </r>
      </text>
    </comment>
    <comment ref="F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к-тов&gt;
&lt;ЗПМ по позиции на единицу в базисных ценах с учетом всех к-тов&gt;</t>
        </r>
      </text>
    </comment>
    <comment ref="G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19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индекса к позиции&gt;: ОЗП=&lt;Индекс к позиции на ОЗП&gt;; ЭМ=&lt;Индекс к позиции на ЭМ&gt;; ЗПМ=&lt;Индекс к позиции на ЗПМ&gt;; МАТ=&lt;Индекс к позиции на МАТ&gt;
&lt;Дополнительные начисления к индексу&gt;</t>
        </r>
      </text>
    </comment>
    <comment ref="I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&lt;Общая стоимость ПЗ по позиции для БИМ до начисления НР и СП&gt;
</t>
        </r>
      </text>
    </comment>
    <comment ref="J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ОЗП по позиции для БИМ до начисления НР и СП&gt;
</t>
        </r>
      </text>
    </comment>
    <comment ref="K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ЭММ по позиции для БИМ до начисления НР и СП&gt;
&lt;Общая стоимость ЗПМ по позиции для БИМ до начисления НР и СП&gt;</t>
        </r>
      </text>
    </comment>
    <comment ref="L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=IF(&lt;Количество всего (физ. объем) по позиции&gt;*&lt;МАТ по позиции на единицу в базисных ценах с учетом всех к-тов&gt;=0," ",TEXT(,ROUND((&lt;Количество всего (физ. объем) по позиции&gt;*&lt;МАТ по позиции на единицу в базисных ценах с учетом всех к-тов&gt;*&lt;Индекс к позиции на МАТ&gt;),2)))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&lt;ТЗМ по позиции на единицу&gt;</t>
        </r>
      </text>
    </comment>
    <comment ref="N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&lt;ТЗМ по позиции всего&gt;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88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88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88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88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&lt;З/п машинистов (итоги)&gt;</t>
        </r>
      </text>
    </comment>
    <comment ref="L88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N88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&lt;Трудозатраты машинистов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12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______________&lt;Составил&gt;</t>
        </r>
      </text>
    </comment>
    <comment ref="F112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______________&lt;Проверил&gt;</t>
        </r>
      </text>
    </comment>
  </commentList>
</comments>
</file>

<file path=xl/sharedStrings.xml><?xml version="1.0" encoding="utf-8"?>
<sst xmlns="http://schemas.openxmlformats.org/spreadsheetml/2006/main" count="775" uniqueCount="384">
  <si>
    <t>Заказчик</t>
  </si>
  <si>
    <t>(наименование стройки)</t>
  </si>
  <si>
    <t>(локальная смета)</t>
  </si>
  <si>
    <t>№ пп</t>
  </si>
  <si>
    <t>Индекс</t>
  </si>
  <si>
    <t>СОГЛАСОВАНО:</t>
  </si>
  <si>
    <t>УТВЕРЖДАЮ:</t>
  </si>
  <si>
    <t>Подрядчик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</si>
  <si>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</si>
  <si>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</si>
  <si>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</si>
  <si>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</si>
  <si>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</si>
  <si>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</si>
  <si>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</si>
  <si>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</si>
  <si>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</si>
  <si>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</si>
  <si>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</si>
  <si>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</si>
  <si>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</si>
  <si>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       (наименование работ и затрат, наименование объекта)</t>
  </si>
  <si>
    <t>Наименование работ и затрат, единица измерения</t>
  </si>
  <si>
    <r>
      <t xml:space="preserve">Стоимость единицы                                        </t>
    </r>
    <r>
      <rPr>
        <i/>
        <sz val="10"/>
        <rFont val="Times New Roman"/>
        <family val="1"/>
        <charset val="204"/>
      </rPr>
      <t>(в базисном уровне цен с учетом всех коэффициентов к позиции)</t>
    </r>
  </si>
  <si>
    <r>
      <t xml:space="preserve">Общая стоимость                                                                    </t>
    </r>
    <r>
      <rPr>
        <i/>
        <sz val="10"/>
        <rFont val="Times New Roman"/>
        <family val="1"/>
        <charset val="204"/>
      </rPr>
      <t>(в текущем уровне цен)</t>
    </r>
  </si>
  <si>
    <t xml:space="preserve">
ИНН/КПП /</t>
  </si>
  <si>
    <t>ЛОКАЛЬНЫЙ СМЕТНЫЙ РАСЧЕТ №  02-01-02</t>
  </si>
  <si>
    <t>Основание:  проект ЭМ</t>
  </si>
  <si>
    <t>Проверил:____________________________</t>
  </si>
  <si>
    <t xml:space="preserve">                           Раздел 1. Монтажные работы</t>
  </si>
  <si>
    <t>ФЕРм08-03-573-04</t>
  </si>
  <si>
    <t>68,25
23,51</t>
  </si>
  <si>
    <t>41,74
3,16</t>
  </si>
  <si>
    <t>55.499 Шкаф (пульт) управления навесной: ОЗП=16,45; ЭМ=7,77; ЗПМ=16,45; МАТ=4,2</t>
  </si>
  <si>
    <t>326
49</t>
  </si>
  <si>
    <t>2,37
0,29</t>
  </si>
  <si>
    <t>НР 85%=100%*0,85 от ФОТ</t>
  </si>
  <si>
    <t>СП 52%=65%*0,8 от ФОТ</t>
  </si>
  <si>
    <t>Шкаф (пульт) управления навесной, высота, ширина и глубина: до 600х600х350 мм (Шкаф силовой)</t>
  </si>
  <si>
    <t>1 шт.</t>
  </si>
  <si>
    <t>ФЕРм08-03-575-01</t>
  </si>
  <si>
    <t>11,51
11,11</t>
  </si>
  <si>
    <t>55.501 Прибор или аппарат: ОЗП=16,45; МАТ=6,03</t>
  </si>
  <si>
    <t>Прибор или аппарат</t>
  </si>
  <si>
    <t>ФЕРм10-06-037-08</t>
  </si>
  <si>
    <t>10,9
9,3</t>
  </si>
  <si>
    <t>57.326 Ящик для трубных проводок протяжной или коробка: ОЗП=16,45; ЭМ=7,24; ЗПМ=16,45; МАТ=2,95</t>
  </si>
  <si>
    <t>НР 89%=105%*0,85 от ФОТ</t>
  </si>
  <si>
    <t>Ящик для трубных проводок протяжной или коробка, размер: до 200х200 мм</t>
  </si>
  <si>
    <t>ФЕРм11-04-008-01</t>
  </si>
  <si>
    <t>9,95
8,9</t>
  </si>
  <si>
    <t>58.34 Съемные и выдвижные блоки (модули, ячейки, ТЭЗ), масса: до 30 кг: ОЗП=16,45; ЭМ=11,43; ЗПМ=16,45; МАТ=5,58</t>
  </si>
  <si>
    <t>НР 82%=97%*0,85 от ФОТ</t>
  </si>
  <si>
    <t>Съемные и выдвижные блоки (модули, ячейки, ТЭЗ), масса: до 5 кг</t>
  </si>
  <si>
    <t>ФЕРм10-01-039-06</t>
  </si>
  <si>
    <t>17,4
17,06</t>
  </si>
  <si>
    <t>57.38 Реле, ключ, кнопка и др. с подготовкой места установки: ОЗП=16,45; МАТ=5,59</t>
  </si>
  <si>
    <t>НР 71%=84%*0,85 от ФОТ</t>
  </si>
  <si>
    <t>СП 48%=60%*0,8 от ФОТ</t>
  </si>
  <si>
    <t>Реле, ключ, кнопка и др. с подготовкой места установки</t>
  </si>
  <si>
    <t>ФЕРм11-03-001-01</t>
  </si>
  <si>
    <t>6,25
5,16</t>
  </si>
  <si>
    <t>58.22 Приборы, устанавливаемые на металлоконструкциях, щитах и пультах: ОЗП=16,45; МАТ=2,9</t>
  </si>
  <si>
    <t>Приборы, устанавливаемые на металлоконструкциях, щитах и пультах, масса: до 5 кг Регулятор</t>
  </si>
  <si>
    <t>ФЕРм08-02-413-06</t>
  </si>
  <si>
    <t>721,38
430,14</t>
  </si>
  <si>
    <t>199,64
12,15</t>
  </si>
  <si>
    <t>55.320 Провод в резинобитумных трубках: ОЗП=16,45; ЭМ=9,87; ЗПМ=16,45; МАТ=4,29</t>
  </si>
  <si>
    <t>790
82</t>
  </si>
  <si>
    <t>45,76
0,9</t>
  </si>
  <si>
    <t>18,3
0,36</t>
  </si>
  <si>
    <t>Провод, количество проводов в резинобитумной трубке: до 3, сечение провода до 70 мм2</t>
  </si>
  <si>
    <t>100 м трубок</t>
  </si>
  <si>
    <t>ФЕРм08-02-148-01</t>
  </si>
  <si>
    <t>8,98
4,68+1,6+2,7</t>
  </si>
  <si>
    <t>187,39
95,43</t>
  </si>
  <si>
    <t>54,4
2,7</t>
  </si>
  <si>
    <t>55.136 Кабели до 35 кв в проложенных трубах, блоках и коробах: ОЗП=16,45; ЭМ=6,09; ЗПМ=16,45; МАТ=6,75</t>
  </si>
  <si>
    <t>2978
395</t>
  </si>
  <si>
    <t>9,92
0,2</t>
  </si>
  <si>
    <t>89,08
1,8</t>
  </si>
  <si>
    <t>Кабель до 35 кВ в проложенных трубах, блоках и коробах, масса 1 м кабеля: до 1 кг</t>
  </si>
  <si>
    <t>100 м кабеля</t>
  </si>
  <si>
    <t>ФЕРм08-02-407-01</t>
  </si>
  <si>
    <t>595,86
231,62</t>
  </si>
  <si>
    <t>136,2
5,13</t>
  </si>
  <si>
    <t>55.303 Труба стальная по установленным конструкциям, по стенам с креплением скобами: ОЗП=16,45; ЭМ=9,06; ЗПМ=16,45; МАТ=7,44</t>
  </si>
  <si>
    <t>4322
296</t>
  </si>
  <si>
    <t>24,64
0,38</t>
  </si>
  <si>
    <t>86,24
1,33</t>
  </si>
  <si>
    <t>Труба стальная по установленным конструкциям, по стенам с креплением скобами, диаметр: до 25 мм</t>
  </si>
  <si>
    <t>100 м</t>
  </si>
  <si>
    <t>1157
148</t>
  </si>
  <si>
    <t>34,72
0,7</t>
  </si>
  <si>
    <t>ФЕРм11-06-002-02</t>
  </si>
  <si>
    <t>147,19
137,52</t>
  </si>
  <si>
    <t>58.52 Электрические проводки в щитах и пультах: ОЗП=16,45; МАТ=3,77</t>
  </si>
  <si>
    <t>Электрические проводки в щитах и пультах: малогабаритных</t>
  </si>
  <si>
    <t>ФЕРм08-02-163-01</t>
  </si>
  <si>
    <t>14,75
10,58</t>
  </si>
  <si>
    <t>55.161 Заделки концевые с термоусаживающимися полиэтиленовыми перчатками: ОЗП=16,45; МАТ=8,31</t>
  </si>
  <si>
    <t>Заделка концевая с термоусаживающимися полиэтиленовыми перчатками для 3-4-жильного кабеля с бумажной изоляцией напряжением до 1 кВ, сечение одной жилы: до 35 мм2</t>
  </si>
  <si>
    <t>ФЕРм08-02-472-09</t>
  </si>
  <si>
    <t>374,79
200,22</t>
  </si>
  <si>
    <t>69,36
2,57</t>
  </si>
  <si>
    <t>55.350 Проводник заземляющий открыто по строительным основаниям: ОЗП=16,45; ЭМ=8,32; ЗПМ=16,45; МАТ=3,63</t>
  </si>
  <si>
    <t>21,3
0,19</t>
  </si>
  <si>
    <t>2,13
0,02</t>
  </si>
  <si>
    <t>Проводник заземляющий открыто по строительным основаниям: из круглой стали диаметром 12 мм</t>
  </si>
  <si>
    <t>ФЕРм08-02-472-08</t>
  </si>
  <si>
    <t>541,57
188,94</t>
  </si>
  <si>
    <t>51,62
1,49</t>
  </si>
  <si>
    <t>1805
99</t>
  </si>
  <si>
    <t>20,1
0,11</t>
  </si>
  <si>
    <t>84,42
0,46</t>
  </si>
  <si>
    <t>Проводник заземляющий открыто по строительным основаниям: из круглой стали диаметром 8 мм</t>
  </si>
  <si>
    <t>899
49</t>
  </si>
  <si>
    <t>42,21
0,23</t>
  </si>
  <si>
    <t>ФССЦ-101-1627</t>
  </si>
  <si>
    <t>Сталь листовая углеродистая обыкновенного качества марки ВСт3пс5 толщиной:4-6 мм; МАТ=5,264</t>
  </si>
  <si>
    <t>Сталь листовая углеродистая обыкновенного качества марки ВСт3пс5 толщиной: 4-6 мм</t>
  </si>
  <si>
    <t>т</t>
  </si>
  <si>
    <t>ФЕРм08-02-472-01</t>
  </si>
  <si>
    <t>260,58
178,6</t>
  </si>
  <si>
    <t>56,41
1,89</t>
  </si>
  <si>
    <t>55.349 Проводник заземляющий скрыто в подливке пола из стали: ОЗП=16,45; ЭМ=8,57; ЗПМ=16,45; МАТ=3,65</t>
  </si>
  <si>
    <t>1251
82</t>
  </si>
  <si>
    <t>19
0,14</t>
  </si>
  <si>
    <t>49,02
0,36</t>
  </si>
  <si>
    <t>Заземлитель горизонтальный из стали: круглой диаметром 12 мм</t>
  </si>
  <si>
    <t>ФЕРм10-05-001-04</t>
  </si>
  <si>
    <t>251,26
246,33</t>
  </si>
  <si>
    <t>57.204 Настройка крупных систем коллективного приёма телевидения (КСКПТ): ОЗП=16,45; МАТ=5,58</t>
  </si>
  <si>
    <t>Замена существующей антенны с демонтажом ранее установленной антенны и разъема кабеля снижения, подъем и установка мачты и новой антенны, прокладка и разделка кабеля снижения от антенны до головной усилительной станции, полный цикл измерений по каждому каналу качества изображения на антенну, для: 1-5 каналов</t>
  </si>
  <si>
    <t>1 антенна</t>
  </si>
  <si>
    <t>Итого прямые затраты по разделу в ценах 2001г.</t>
  </si>
  <si>
    <t>1761
73</t>
  </si>
  <si>
    <t>593,35
5,55</t>
  </si>
  <si>
    <t>Итого прямые затраты по разделу с учетом индексов, в текущих ценах</t>
  </si>
  <si>
    <t>13631
1200</t>
  </si>
  <si>
    <t>Накладные расходы</t>
  </si>
  <si>
    <t>Сметная прибыль</t>
  </si>
  <si>
    <t>Итого по разделу 1 Монтажные работы</t>
  </si>
  <si>
    <t xml:space="preserve">                           Раздел 2. Строительные работы</t>
  </si>
  <si>
    <t>ФЕРр68-12-4</t>
  </si>
  <si>
    <t>6008,44
2022,24</t>
  </si>
  <si>
    <t>3986,2
423,83</t>
  </si>
  <si>
    <t>93.23 Разборка покрытий и оснований: асфальтобетонных с помощью молотков отбойных: ОЗП=16,45; ЭМ=8,84; ЗПМ=16,45</t>
  </si>
  <si>
    <t>7753
1530</t>
  </si>
  <si>
    <t>243,35
41,39</t>
  </si>
  <si>
    <t>53,54
9,11</t>
  </si>
  <si>
    <t>НР 93%=109%*0,85 от ФОТ</t>
  </si>
  <si>
    <t>Разборка покрытий и оснований: асфальтобетонных с помощью молотков отбойных</t>
  </si>
  <si>
    <t>100 м3 конструкций</t>
  </si>
  <si>
    <t>ФЕР01-02-057-02</t>
  </si>
  <si>
    <t>1201,2
1201,2</t>
  </si>
  <si>
    <t>1.181 Разработка грунта вручную в траншеях, копание ям вручную без креплений для стоек и столбов: ОЗП=16,45</t>
  </si>
  <si>
    <t>НР 64%=84%*(0,85*0,9) от ФОТ</t>
  </si>
  <si>
    <t>СП 31%=45%*(0,8*0,85) от ФОТ</t>
  </si>
  <si>
    <t>Разработка грунта вручную в траншеях глубиной до 2 м без креплений с откосами, группа грунтов: 2</t>
  </si>
  <si>
    <t>100 м3 грунта</t>
  </si>
  <si>
    <t>ФЕР01-02-061-02</t>
  </si>
  <si>
    <t>729
729</t>
  </si>
  <si>
    <t>1.183 Погрузка вручную неуплотненного мерзлого грунта в транспортные средства из штабелей и отвалов, засыпка вручную траншей, пазух котлованов и ям: ОЗП=16,45</t>
  </si>
  <si>
    <t>Засыпка вручную траншей, пазух котлованов и ям, группа грунтов: 2</t>
  </si>
  <si>
    <t>ФЕР27-04-001-02</t>
  </si>
  <si>
    <t>0,3616
226*0,8*0,2/100</t>
  </si>
  <si>
    <t>2381,84
126,07</t>
  </si>
  <si>
    <t>2238,69
187,94</t>
  </si>
  <si>
    <t>27.40 Устройство подстилающих и выравнивающих слоев оснований: из песчано-гравийной смеси, дресвы: ОЗП=16,45; ЭМ=9,4; ЗПМ=16,45; МАТ=11,48</t>
  </si>
  <si>
    <t>7614
1119</t>
  </si>
  <si>
    <t>15,72
14,81</t>
  </si>
  <si>
    <t>5,68
5,36</t>
  </si>
  <si>
    <t>НР 114%=149%*(0,85*0,9) от ФОТ</t>
  </si>
  <si>
    <t>СП 65%=95%*(0,8*0,85) от ФОТ</t>
  </si>
  <si>
    <t>Устройство подстилающих и выравнивающих слоев оснований: из песчано-гравийной смеси, дресвы</t>
  </si>
  <si>
    <t>100 м3 материала основания (в плотном теле)</t>
  </si>
  <si>
    <t>ФССЦ-408-0200</t>
  </si>
  <si>
    <t>44,1152
36,16*1,22</t>
  </si>
  <si>
    <t>Смесь песчано-гравийная природная; МАТ=10,761</t>
  </si>
  <si>
    <t>Смесь песчано-гравийная природная</t>
  </si>
  <si>
    <t>м3</t>
  </si>
  <si>
    <t>ФЕР27-06-020-01</t>
  </si>
  <si>
    <t>46666,3
368,45</t>
  </si>
  <si>
    <t>2386,22
262,54</t>
  </si>
  <si>
    <t>27.116 Устройство покрытий из горячих асфальтобетонных смесей: ОЗП=16,45; ЭМ=9,95; ЗПМ=16,45; МАТ=6,37</t>
  </si>
  <si>
    <t>4288
773</t>
  </si>
  <si>
    <t>38,3
19,08</t>
  </si>
  <si>
    <t>6,92
3,45</t>
  </si>
  <si>
    <t>Устройство покрытия толщиной 4 см из горячих асфальтобетонных смесей плотных мелкозернистых типа АБВ, плотность каменных материалов: 2,5-2,9 т/м3</t>
  </si>
  <si>
    <t>1000 м2 покрытия</t>
  </si>
  <si>
    <t>ФЕР27-06-021-01
ПЗ=12
ОЗП=12
ЭМ=12
ЗПМ=12
МАТ=12
ТЗ=12
ТЗМ=12</t>
  </si>
  <si>
    <t>65706,48
10,44</t>
  </si>
  <si>
    <t>КОЭФ. К ПОЗИЦИИ:
Всего толщ. 10 см ПЗ=12 (ОЗП=12; ЭМ=12 к расх.; ЗПМ=12; МАТ=12 к расх.; ТЗ=12; ТЗМ=12)</t>
  </si>
  <si>
    <t>На каждые 0,5 см изменения толщины покрытия добавлять или исключать: к расценке 27-06-020-01</t>
  </si>
  <si>
    <t>2125
208</t>
  </si>
  <si>
    <t>208,27
17,92</t>
  </si>
  <si>
    <t>19725
3422</t>
  </si>
  <si>
    <t>Итого по разделу 2 Строительные работы</t>
  </si>
  <si>
    <t xml:space="preserve">                           Раздел 3. Оборудование</t>
  </si>
  <si>
    <t>ТССЦо-604-0021-00033</t>
  </si>
  <si>
    <t>Индекс на оборудование; МАТ=3,83</t>
  </si>
  <si>
    <t>Щиты распределительные навесные ЩРН-24, размер корпуса 350x300x125 мм 1030,56/3,83=269,08</t>
  </si>
  <si>
    <t>шт</t>
  </si>
  <si>
    <t>ТССЦо-604-0001-00060</t>
  </si>
  <si>
    <t>Выключатель автоматический дифференциальный АД-12 2Р 10-40А ИЭК 683,88/3,83= 178,56</t>
  </si>
  <si>
    <t>ТССЦо-604-0031-00004</t>
  </si>
  <si>
    <t>Выключатель нагрузки ВН-32 4р 20-40А 365,30/3,83= 95,38</t>
  </si>
  <si>
    <t>ТССЦо-638-0040-00003</t>
  </si>
  <si>
    <t>Таймер цифровой ТЭ15 16А 230В на дин-рейку 985,95/3,83= 257,43</t>
  </si>
  <si>
    <t>шт.</t>
  </si>
  <si>
    <t>ТССЦо-610-0015-00066</t>
  </si>
  <si>
    <t>Реле промежуточное Finder 553380240010 с тремя перекидными контактами, 10А 441,43/3,83=115,26</t>
  </si>
  <si>
    <t>ТССЦо-604-0005-00005</t>
  </si>
  <si>
    <t>Контактор КМИ-11810, 18А, 220В  468,56/3,83=122,34</t>
  </si>
  <si>
    <t>Прайс Овен</t>
  </si>
  <si>
    <t>Измеритель- регулятор температуры 2ТРМ1 4307/1,18/3,83=953</t>
  </si>
  <si>
    <t>ТССЦо-610-0002-00018</t>
  </si>
  <si>
    <t>Датчик температуры (термопреобразователь) с унифицированным выходным сигналом ТС5008 3926,93/3,83=1025,31</t>
  </si>
  <si>
    <t>Итого по разделу 3 Оборудование</t>
  </si>
  <si>
    <t xml:space="preserve">                           Раздел 4. Материалы</t>
  </si>
  <si>
    <t>ФССЦ-509-2644</t>
  </si>
  <si>
    <t>Полоса монтажная сейсмостойкая:DIN-рейка металлическая ТН 35/7,5 длиной 1000 мм; МАТ=11,458</t>
  </si>
  <si>
    <t>DIN-рейка металлическая ТН 35/7,5 длиной 1000 мм</t>
  </si>
  <si>
    <t>100 шт.</t>
  </si>
  <si>
    <t>ФССЦ-501-8511</t>
  </si>
  <si>
    <t>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- 5 и сечением 16 мм2; МАТ=7,199</t>
  </si>
  <si>
    <t>Кабель силовой с медными жилами с поливинилхлоридной изоляцией и оболочкой, не распространяющий горение, с низким дымо- и газовыделением марки: ВВГнг-LS, с числом жил - 5 и сечением 16 мм2</t>
  </si>
  <si>
    <t>1000 м</t>
  </si>
  <si>
    <t>Прайс Весь город Томск</t>
  </si>
  <si>
    <t>Индекс на материал; МАТ=5,58</t>
  </si>
  <si>
    <t>Саморегулирующая нагревательная лента HS-FSR2-CT 31Вт/м 430/1,18/5,58= 65,31</t>
  </si>
  <si>
    <t>м</t>
  </si>
  <si>
    <t>Прайс Kima</t>
  </si>
  <si>
    <t>Нагревательный кабель Kima Strong Hudmo 117м 17410/1,18/117/5,58=22,60</t>
  </si>
  <si>
    <t>ФССЦ-501-8508</t>
  </si>
  <si>
    <t>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- 5 и сечением 4 мм2; МАТ=7,994</t>
  </si>
  <si>
    <t>Кабель силовой с медными жилами с поливинилхлоридной изоляцией и оболочкой, не распространяющий горение, с низким дымо- и газовыделением марки: ВВГнг-LS, с числом жил - 5 и сечением 4 мм2</t>
  </si>
  <si>
    <t>ФССЦ-501-8483</t>
  </si>
  <si>
    <t>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- 3 и сечением 2,5 мм2; МАТ=8,421</t>
  </si>
  <si>
    <t>Кабель силовой с медными жилами с поливинилхлоридной изоляцией и оболочкой, не распространяющий горение, с низким дымо- и газовыделением марки: ВВГнг-LS, с числом жил - 3 и сечением 2,5 мм2</t>
  </si>
  <si>
    <t>ФССЦ-501-8482</t>
  </si>
  <si>
    <t>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- 3 и сечением 1,5 мм2; МАТ=8,343</t>
  </si>
  <si>
    <t>Кабель силовой с медными жилами с поливинилхлоридной изоляцией и оболочкой, не распространяющий горение, с низким дымо- и газовыделением марки: ВВГнг-LS, с числом жил - 3 и сечением 1,5 мм2</t>
  </si>
  <si>
    <t>ФССЦ-502-0493</t>
  </si>
  <si>
    <t>Провода силовые для электрических установок на напряжение до 450 В с медной жилой марки ПВ1, сечением 1 мм2; МАТ=5,51</t>
  </si>
  <si>
    <t>Провода силовые для электрических установок на напряжение до 450 В с медной жилой марки: ПВ1, сечением 1 мм2</t>
  </si>
  <si>
    <t>ФССЦ-502-0501</t>
  </si>
  <si>
    <t>Провода силовые для электрических установок на напряжение до 450 В с медной жилой марки ПВ1, сечением 6 мм2; МАТ=6,217</t>
  </si>
  <si>
    <t>Провода силовые для электрических установок на напряжение до 450 В с медной жилой марки: ПВ1, сечением 6 мм2</t>
  </si>
  <si>
    <t>Прайс Heat Sistems</t>
  </si>
  <si>
    <t>Концевая заделка KMT/R 260/1,18/5,58=39,49</t>
  </si>
  <si>
    <t>Прайс Els Spelsberg</t>
  </si>
  <si>
    <t>Коробка соединительная Abox 100/S 428,80/1,18/5,58=65,12</t>
  </si>
  <si>
    <t>ФССЦ-103-0344</t>
  </si>
  <si>
    <t>Трубы стальные бесшовные, горячедеформированные со снятой фаской из стали марок 15, 20, 25, наружным диаметром:32 мм, толщина стенки 2,5 мм; МАТ=5,72</t>
  </si>
  <si>
    <t>Трубы стальные бесшовные, горячедеформированные со снятой фаской из стали марок 15, 20, 25, наружным диаметром: 32 мм, толщина стенки 2,5 мм</t>
  </si>
  <si>
    <t>ФССЦ-103-2403</t>
  </si>
  <si>
    <t>Трубы гибкие гофрированные из самозатухающего ПВХ-пластиката легкого типа диаметром 32 мм; МАТ=3,051</t>
  </si>
  <si>
    <t>Трубы гибкие гофрированные из самозатухающего ПВХ-пластиката легкого типа диаметром 32 мм</t>
  </si>
  <si>
    <t>ФССЦ-101-1613</t>
  </si>
  <si>
    <t>Сталь круглая углеродистая обыкновенного качества марки ВСт3пс5-1 диаметром:8 мм; МАТ=5,541</t>
  </si>
  <si>
    <t>Сталь круглая углеродистая обыкновенного качества марки ВСт3пс5-1 диаметром: 8 мм</t>
  </si>
  <si>
    <t>ФССЦ-101-1619</t>
  </si>
  <si>
    <t>0,4234
0,4076+0,0158</t>
  </si>
  <si>
    <t>Сталь круглая углеродистая обыкновенного качества марки ВСт3пс5-1 диаметром 18 мм; МАТ=5,475</t>
  </si>
  <si>
    <t>Сталь круглая углеродистая обыкновенного качества марки ВСт3пс5-1 диаметром: 18 мм</t>
  </si>
  <si>
    <t>Итого по разделу 4 Материалы</t>
  </si>
  <si>
    <t>Итого прямые затраты по смете в ценах 2001г.</t>
  </si>
  <si>
    <t>3886
281</t>
  </si>
  <si>
    <t>801,62
23,47</t>
  </si>
  <si>
    <t>Итого прямые затраты по смете с учетом индексов, в текущих ценах</t>
  </si>
  <si>
    <t>33356
4622</t>
  </si>
  <si>
    <t>Итоги по смете:</t>
  </si>
  <si>
    <t xml:space="preserve">  Итого Строительные работы</t>
  </si>
  <si>
    <t xml:space="preserve">  Итого Монтажные работы</t>
  </si>
  <si>
    <t xml:space="preserve">  Итого Оборудование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</si>
  <si>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</si>
  <si>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</si>
  <si>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</si>
  <si>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</si>
  <si>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</si>
  <si>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Оборудование</t>
  </si>
  <si>
    <t xml:space="preserve">      Накладные расходы</t>
  </si>
  <si>
    <t xml:space="preserve">      Сметная прибыль</t>
  </si>
  <si>
    <t xml:space="preserve">  ВСЕГО по смете</t>
  </si>
  <si>
    <t>Составлен(а) в текущих ценах по состоянию на 2 кв. 2015 года</t>
  </si>
  <si>
    <t xml:space="preserve">на   монтаж системы антиоблединения </t>
  </si>
  <si>
    <t>Составила:____________________________Л.Кузьмина</t>
  </si>
  <si>
    <t xml:space="preserve">Капитальный ремонт общего имущества многоквартирных домов: ремонт скатной крыши многоквартирного дома, расположенном по адресу: Томская область, г. Томск, ул. Новгородская, дом № 20 </t>
  </si>
  <si>
    <t xml:space="preserve">Шкаф (пульт) управления навесной, высота, ширина и глубина: до 600х600х350 мм (Шкаф силовой)
1 шт.
377 руб. НР 85%=100%*0,85 от ФОТ (444 руб.)
231 руб.СП 52%=65%*0,8 от ФОТ (444 руб.)
</t>
  </si>
  <si>
    <t>12.6</t>
  </si>
  <si>
    <t xml:space="preserve">Прибор или аппарат
1 шт.
1552 руб. НР 85%=100%*0,85 от ФОТ (1826 руб.)
950 руб.СП 52%=65%*0,8 от ФОТ (1826 руб.)
</t>
  </si>
  <si>
    <t>24.12</t>
  </si>
  <si>
    <t xml:space="preserve">Ящик для трубных проводок протяжной или коробка, размер: до 200х200 мм
1 шт.
1362 руб. НР 89%=105%*0,85 от ФОТ (1530 руб.)
796 руб.СП 52%=65%*0,8 от ФОТ (1530 руб.)
</t>
  </si>
  <si>
    <t>39.24</t>
  </si>
  <si>
    <t xml:space="preserve">Съемные и выдвижные блоки (модули, ячейки, ТЭЗ), масса: до 5 кг
1 шт.
243 руб. НР 82%=97%*0,85 от ФОТ (296 руб.)
154 руб.СП 52%=65%*0,8 от ФОТ (296 руб.)
</t>
  </si>
  <si>
    <t>2.01</t>
  </si>
  <si>
    <t xml:space="preserve">Реле, ключ, кнопка и др. с подготовкой места установки
1 шт.
397 руб. НР 71%=84%*0,85 от ФОТ (559 руб.)
268 руб.СП 48%=60%*0,8 от ФОТ (559 руб.)
</t>
  </si>
  <si>
    <t>3.8</t>
  </si>
  <si>
    <t xml:space="preserve">Приборы, устанавливаемые на металлоконструкциях, щитах и пультах, масса: до 5 кг Регулятор
1 шт.
117 руб. НР 71%=84%*0,85 от ФОТ (165 руб.)
79 руб.СП 48%=60%*0,8 от ФОТ (165 руб.)
</t>
  </si>
  <si>
    <t>6.32</t>
  </si>
  <si>
    <t xml:space="preserve">Провод, количество проводов в резинобитумной трубке: до 3, сечение провода до 70 мм2
100 м трубок
2474 руб. НР 85%=100%*0,85 от ФОТ (2911 руб.)
1514 руб.СП 52%=65%*0,8 от ФОТ (2911 руб.)
</t>
  </si>
  <si>
    <t>157.19</t>
  </si>
  <si>
    <t xml:space="preserve">Кабель до 35 кВ в проложенных трубах, блоках и коробах, масса 1 м кабеля: до 1 кг
100 м кабеля
12319 руб. НР 85%=100%*0,85 от ФОТ (14493 руб.)
7536 руб.СП 52%=65%*0,8 от ФОТ (14493 руб.)
</t>
  </si>
  <si>
    <t>2276.7</t>
  </si>
  <si>
    <t xml:space="preserve">Труба стальная по установленным конструкциям, по стенам с креплением скобами, диаметр: до 25 мм
100 м
11591 руб. НР 85%=100%*0,85 от ФОТ (13637 руб.)
7091 руб.СП 52%=65%*0,8 от ФОТ (13637 руб.)
</t>
  </si>
  <si>
    <t>5938.16</t>
  </si>
  <si>
    <t xml:space="preserve">Кабель до 35 кВ в проложенных трубах, блоках и коробах, масса 1 м кабеля: до 1 кг
100 м кабеля
4796 руб. НР 85%=100%*0,85 от ФОТ (5642 руб.)
2934 руб.СП 52%=65%*0,8 от ФОТ (5642 руб.)
</t>
  </si>
  <si>
    <t>887.36</t>
  </si>
  <si>
    <t xml:space="preserve">Электрические проводки в щитах и пультах: малогабаритных
100 м
245 руб. НР 71%=84%*0,85 от ФОТ (345 руб.)
166 руб.СП 48%=60%*0,8 от ФОТ (345 руб.)
</t>
  </si>
  <si>
    <t>5.47</t>
  </si>
  <si>
    <t xml:space="preserve">Заделка концевая с термоусаживающимися полиэтиленовыми перчатками для 3-4-жильного кабеля с бумажной изоляцией напряжением до 1 кВ, сечение одной жилы: до 35 мм2
1 шт.
1482 руб. НР 85%=100%*0,85 от ФОТ (1744 руб.)
907 руб.СП 52%=65%*0,8 от ФОТ (1744 руб.)
</t>
  </si>
  <si>
    <t>346.53</t>
  </si>
  <si>
    <t xml:space="preserve">Проводник заземляющий открыто по строительным основаниям: из круглой стали диаметром 12 мм
100 м
280 руб. НР 85%=100%*0,85 от ФОТ (329 руб.)
171 руб.СП 52%=65%*0,8 от ФОТ (329 руб.)
</t>
  </si>
  <si>
    <t>38.19</t>
  </si>
  <si>
    <t xml:space="preserve">Проводник заземляющий открыто по строительным основаниям: из круглой стали диаметром 8 мм
100 м
11186 руб. НР 85%=100%*0,85 от ФОТ (13160 руб.)
6843 руб.СП 52%=65%*0,8 от ФОТ (13160 руб.)
</t>
  </si>
  <si>
    <t>4589.2</t>
  </si>
  <si>
    <t xml:space="preserve">Проводник заземляющий открыто по строительным основаниям: из круглой стали диаметром 8 мм
100 м
5593 руб. НР 85%=100%*0,85 от ФОТ (6580 руб.)
3422 руб.СП 52%=65%*0,8 от ФОТ (6580 руб.)
</t>
  </si>
  <si>
    <t>2294.6</t>
  </si>
  <si>
    <t xml:space="preserve">Сталь листовая углеродистая обыкновенного качества марки ВСт3пс5 толщиной: 4-6 мм
т
</t>
  </si>
  <si>
    <t>-2548.26</t>
  </si>
  <si>
    <t xml:space="preserve">Заземлитель горизонтальный из стали: круглой диаметром 12 мм
100 м
6515 руб. НР 85%=100%*0,85 от ФОТ (7665 руб.)
3986 руб.СП 52%=65%*0,8 от ФОТ (7665 руб.)
</t>
  </si>
  <si>
    <t>240.79</t>
  </si>
  <si>
    <t xml:space="preserve">Замена существующей антенны с демонтажом ранее установленной антенны и разъема кабеля снижения, подъем и установка мачты и новой антенны, прокладка и разделка кабеля снижения от антенны до головной усилительной станции, полный цикл измерений по каждому каналу качества изображения на антенну, для: 1-5 каналов
1 антенна
19937 руб. НР 82%=97%*0,85 от ФОТ (24313 руб.)
12643 руб.СП 52%=65%*0,8 от ФОТ (24313 руб.)
</t>
  </si>
  <si>
    <t>165.06</t>
  </si>
  <si>
    <t xml:space="preserve">Разборка покрытий и оснований: асфальтобетонных с помощью молотков отбойных
100 м3 конструкций
8231 руб. НР 93%=109%*0,85 от ФОТ (8850 руб.)
4248 руб.СП 48%=60%*0,8 от ФОТ (8850 руб.)
</t>
  </si>
  <si>
    <t xml:space="preserve"> </t>
  </si>
  <si>
    <t xml:space="preserve">Разработка грунта вручную в траншеях глубиной до 2 м без креплений с откосами, группа грунтов: 2
100 м3 грунта
7149 руб. НР 64%=84%*(0,85*0,9) от ФОТ (11170 руб.)
3463 руб.СП 31%=45%*(0,8*0,85) от ФОТ (11170 руб.)
</t>
  </si>
  <si>
    <t xml:space="preserve">Засыпка вручную траншей, пазух котлованов и ям, группа грунтов: 2
100 м3 грунта
4337 руб. НР 64%=84%*(0,85*0,9) от ФОТ (6777 руб.)
2101 руб.СП 31%=45%*(0,8*0,85) от ФОТ (6777 руб.)
</t>
  </si>
  <si>
    <t xml:space="preserve">Устройство подстилающих и выравнивающих слоев оснований: из песчано-гравийной смеси, дресвы
100 м3 материала основания (в плотном теле)
2139 руб. НР 114%=149%*(0,85*0,9) от ФОТ (1876 руб.)
1219 руб.СП 65%=95%*(0,8*0,85) от ФОТ (1876 руб.)
</t>
  </si>
  <si>
    <t>70.9</t>
  </si>
  <si>
    <t xml:space="preserve">Смесь песчано-гравийная природная
м3
</t>
  </si>
  <si>
    <t>28483.42</t>
  </si>
  <si>
    <t xml:space="preserve">Устройство покрытия толщиной 4 см из горячих асфальтобетонных смесей плотных мелкозернистых типа АБВ, плотность каменных материалов: 2,5-2,9 т/м3
1000 м2 покрытия
2138 руб. НР 114%=149%*(0,85*0,9) от ФОТ (1875 руб.)
1219 руб.СП 65%=95%*(0,8*0,85) от ФОТ (1875 руб.)
</t>
  </si>
  <si>
    <t>50572.85</t>
  </si>
  <si>
    <t xml:space="preserve">На каждые 0,5 см изменения толщины покрытия добавлять или исключать: к расценке 27-06-020-01
1000 м2 покрытия
КОЭФ. К ПОЗИЦИИ:
Всего толщ. 10 см ПЗ=12 (ОЗП=12; ЭМ=12 к расх.; ЗПМ=12; МАТ=12 к расх.; ТЗ=12; ТЗМ=12)
38 руб. НР 114%=149%*(0,85*0,9) от ФОТ (33 руб.)
21 руб.СП 65%=95%*(0,8*0,85) от ФОТ (33 руб.)
</t>
  </si>
  <si>
    <t>75619.02</t>
  </si>
  <si>
    <t xml:space="preserve">Щиты распределительные навесные ЩРН-24, размер корпуса 350x300x125 мм 1030,56/3,83=269,08
шт
</t>
  </si>
  <si>
    <t xml:space="preserve">Выключатель автоматический дифференциальный АД-12 2Р 10-40А ИЭК 683,88/3,83= 178,56
шт
</t>
  </si>
  <si>
    <t xml:space="preserve">Выключатель нагрузки ВН-32 4р 20-40А 365,30/3,83= 95,38
шт
</t>
  </si>
  <si>
    <t xml:space="preserve">Таймер цифровой ТЭ15 16А 230В на дин-рейку 985,95/3,83= 257,43
шт.
</t>
  </si>
  <si>
    <t xml:space="preserve">Реле промежуточное Finder 553380240010 с тремя перекидными контактами, 10А 441,43/3,83=115,26
шт
</t>
  </si>
  <si>
    <t xml:space="preserve">Контактор КМИ-11810, 18А, 220В  468,56/3,83=122,34
шт
</t>
  </si>
  <si>
    <t xml:space="preserve">Измеритель- регулятор температуры 2ТРМ1 4307/1,18/3,83=953
шт
</t>
  </si>
  <si>
    <t xml:space="preserve">Датчик температуры (термопреобразователь) с унифицированным выходным сигналом ТС5008 3926,93/3,83=1025,31
шт
</t>
  </si>
  <si>
    <t xml:space="preserve">DIN-рейка металлическая ТН 35/7,5 длиной 1000 мм
100 шт.
</t>
  </si>
  <si>
    <t>338.58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</si>
  <si>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марки: ВВГнг-LS, с числом жил - 5 и сечением 16 мм2
1000 м
</t>
  </si>
  <si>
    <t>19958.35</t>
  </si>
  <si>
    <t xml:space="preserve">Саморегулирующая нагревательная лента HS-FSR2-CT 31Вт/м 430/1,18/5,58= 65,31
м
</t>
  </si>
  <si>
    <t>98396.05</t>
  </si>
  <si>
    <t xml:space="preserve">Нагревательный кабель Kima Strong Hudmo 117м 17410/1,18/117/5,58=22,60
м
</t>
  </si>
  <si>
    <t>59018.54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</si>
  <si>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марки: ВВГнг-LS, с числом жил - 5 и сечением 4 мм2
1000 м
</t>
  </si>
  <si>
    <t>30297.65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</si>
  <si>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марки: ВВГнг-LS, с числом жил - 3 и сечением 2,5 мм2
1000 м
</t>
  </si>
  <si>
    <t>11655.35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</si>
  <si>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марки: ВВГнг-LS, с числом жил - 3 и сечением 1,5 мм2
1000 м
</t>
  </si>
  <si>
    <t>4031.44</t>
  </si>
  <si>
    <t xml:space="preserve">Провода силовые для электрических установок на напряжение до 450 В с медной жилой марки: ПВ1, сечением 1 мм2
1000 м
</t>
  </si>
  <si>
    <t>159.28</t>
  </si>
  <si>
    <t xml:space="preserve">Провода силовые для электрических установок на напряжение до 450 В с медной жилой марки: ПВ1, сечением 6 мм2
1000 м
</t>
  </si>
  <si>
    <t>346.57</t>
  </si>
  <si>
    <t xml:space="preserve">Концевая заделка KMT/R 260/1,18/5,58=39,49
шт
</t>
  </si>
  <si>
    <t>2203.54</t>
  </si>
  <si>
    <t xml:space="preserve">Коробка соединительная Abox 100/S 428,80/1,18/5,58=65,12
шт
</t>
  </si>
  <si>
    <t>3633.7</t>
  </si>
  <si>
    <t xml:space="preserve">Трубы стальные бесшовные, горячедеформированные со снятой фаской из стали марок 15, 20, 25, наружным диаметром: 32 мм, толщина стенки 2,5 мм
м
</t>
  </si>
  <si>
    <t>37697.66</t>
  </si>
  <si>
    <t xml:space="preserve">Трубы гибкие гофрированные из самозатухающего ПВХ-пластиката легкого типа диаметром 32 мм
м
</t>
  </si>
  <si>
    <t>422.26</t>
  </si>
  <si>
    <t xml:space="preserve">Сталь круглая углеродистая обыкновенного качества марки ВСт3пс5-1 диаметром: 8 мм
т
</t>
  </si>
  <si>
    <t>2405.3</t>
  </si>
  <si>
    <t xml:space="preserve">Сталь круглая углеродистая обыкновенного качества марки ВСт3пс5-1 диаметром: 18 мм
т
</t>
  </si>
  <si>
    <t>12123.76</t>
  </si>
  <si>
    <t xml:space="preserve">Капитальный ремонт многоквартирного дома, расположенном по адресу: Томская область, г. Томск, ул. Новгородская, дом № 20 </t>
  </si>
  <si>
    <t>Антиобледенение</t>
  </si>
  <si>
    <t>Составила:____________________________</t>
  </si>
  <si>
    <t xml:space="preserve">  ИТОГО по смете</t>
  </si>
  <si>
    <t xml:space="preserve">       Итого</t>
  </si>
  <si>
    <t xml:space="preserve">       Непредвиденные затраты 2%</t>
  </si>
  <si>
    <t xml:space="preserve">      НДС 18%</t>
  </si>
  <si>
    <t xml:space="preserve">      ВСЕГО по смете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</si>
</sst>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9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Border="1" applyAlignment="1"/>
    <xf numFmtId="0" fontId="1" fillId="0" borderId="0" xfId="9" quotePrefix="1" applyFont="1" applyAlignment="1">
      <alignment horizontal="left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0" xfId="9" applyFont="1">
      <alignment horizontal="right" indent="1"/>
    </xf>
    <xf numFmtId="0" fontId="1" fillId="0" borderId="0" xfId="9" applyFont="1" applyBorder="1">
      <alignment horizontal="right" indent="1"/>
    </xf>
    <xf numFmtId="0" fontId="1" fillId="0" borderId="0" xfId="9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right" vertical="center"/>
    </xf>
    <xf numFmtId="0" fontId="2" fillId="0" borderId="0" xfId="9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9" applyFont="1" applyBorder="1" applyAlignment="1">
      <alignment horizontal="left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right" vertical="top" wrapText="1"/>
    </xf>
    <xf numFmtId="0" fontId="1" fillId="0" borderId="0" xfId="11" applyFont="1" applyAlignment="1">
      <alignment horizontal="left" vertical="top"/>
    </xf>
    <xf numFmtId="0" fontId="1" fillId="0" borderId="3" xfId="4" applyFont="1" applyBorder="1" applyAlignment="1">
      <alignment horizontal="center" wrapText="1"/>
    </xf>
    <xf numFmtId="0" fontId="1" fillId="0" borderId="8" xfId="4" applyFont="1" applyBorder="1">
      <alignment horizontal="center" wrapText="1"/>
    </xf>
    <xf numFmtId="0" fontId="1" fillId="0" borderId="3" xfId="4" applyFont="1" applyBorder="1">
      <alignment horizontal="center" wrapText="1"/>
    </xf>
    <xf numFmtId="0" fontId="2" fillId="0" borderId="3" xfId="4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0" borderId="1" xfId="9" applyFont="1" applyBorder="1">
      <alignment horizontal="right" indent="1"/>
    </xf>
    <xf numFmtId="0" fontId="1" fillId="0" borderId="1" xfId="0" applyFont="1" applyBorder="1" applyAlignment="1"/>
    <xf numFmtId="0" fontId="2" fillId="0" borderId="1" xfId="0" applyFont="1" applyBorder="1" applyAlignment="1"/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wrapText="1"/>
    </xf>
    <xf numFmtId="0" fontId="1" fillId="0" borderId="1" xfId="3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0" xfId="3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" fillId="0" borderId="0" xfId="3" applyFont="1" applyBorder="1" applyAlignment="1">
      <alignment horizontal="right" vertical="top" wrapText="1"/>
    </xf>
    <xf numFmtId="0" fontId="2" fillId="0" borderId="1" xfId="3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1" xfId="3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" fillId="0" borderId="3" xfId="0" quotePrefix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quotePrefix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1" fillId="0" borderId="8" xfId="0" applyFont="1" applyBorder="1" applyAlignment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13" xfId="0" applyFont="1" applyBorder="1" applyAlignment="1"/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9" applyFont="1" applyBorder="1" applyAlignment="1">
      <alignment horizontal="center" wrapText="1"/>
    </xf>
    <xf numFmtId="0" fontId="1" fillId="0" borderId="0" xfId="9" applyFont="1" applyAlignment="1">
      <alignment horizontal="left" vertical="top" wrapText="1"/>
    </xf>
    <xf numFmtId="0" fontId="1" fillId="0" borderId="0" xfId="9" applyFont="1" applyAlignment="1">
      <alignment horizontal="right" vertical="top" wrapText="1"/>
    </xf>
    <xf numFmtId="0" fontId="1" fillId="0" borderId="0" xfId="9" applyFont="1" applyAlignment="1">
      <alignment horizontal="left"/>
    </xf>
    <xf numFmtId="0" fontId="1" fillId="0" borderId="2" xfId="9" applyFont="1" applyBorder="1">
      <alignment horizontal="right" indent="1"/>
    </xf>
    <xf numFmtId="0" fontId="1" fillId="0" borderId="6" xfId="9" applyFont="1" applyBorder="1">
      <alignment horizontal="right" inden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I107"/>
  <sheetViews>
    <sheetView showGridLines="0" zoomScale="101" zoomScaleNormal="101" workbookViewId="0">
      <selection sqref="A1:XFD1048576"/>
    </sheetView>
  </sheetViews>
  <sheetFormatPr defaultRowHeight="12.75" x14ac:dyDescent="0.2"/>
  <cols>
    <col min="1" max="1" width="3.42578125" style="3" customWidth="1"/>
    <col min="2" max="2" width="14.42578125" style="3" customWidth="1"/>
    <col min="3" max="3" width="41.7109375" style="3" customWidth="1"/>
    <col min="4" max="4" width="6.85546875" style="3" customWidth="1"/>
    <col min="5" max="5" width="9.7109375" style="33" customWidth="1"/>
    <col min="6" max="6" width="8.85546875" style="33" customWidth="1"/>
    <col min="7" max="7" width="0.140625" style="33" hidden="1" customWidth="1"/>
    <col min="8" max="8" width="25.28515625" style="33" customWidth="1"/>
    <col min="9" max="9" width="9.7109375" style="33" customWidth="1"/>
    <col min="10" max="10" width="8.140625" style="33" customWidth="1"/>
    <col min="11" max="11" width="8.7109375" style="33" customWidth="1"/>
    <col min="12" max="12" width="8.85546875" style="33" hidden="1" customWidth="1"/>
    <col min="13" max="13" width="7.7109375" style="33" customWidth="1"/>
    <col min="14" max="14" width="8" style="2" customWidth="1"/>
    <col min="15" max="15" width="9.140625" style="2"/>
    <col min="16" max="16" width="19.7109375" style="2" customWidth="1"/>
    <col min="17" max="26" width="9.140625" style="2"/>
    <col min="27" max="34" width="30.7109375" style="2" customWidth="1"/>
    <col min="35" max="35" width="31.5703125" style="2" customWidth="1"/>
    <col min="36" max="16384" width="9.140625" style="2"/>
  </cols>
  <sheetData>
    <row r="1" spans="1:14" s="1" customFormat="1" ht="31.5" customHeight="1" x14ac:dyDescent="0.2">
      <c r="A1" s="15"/>
      <c r="B1" s="90" t="s">
        <v>289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4" s="1" customFormat="1" x14ac:dyDescent="0.2">
      <c r="A2" s="8" t="s">
        <v>5</v>
      </c>
      <c r="B2" s="20"/>
      <c r="C2" s="20"/>
      <c r="D2" s="21"/>
      <c r="F2" s="22" t="s">
        <v>1</v>
      </c>
      <c r="G2" s="22"/>
      <c r="J2" s="8"/>
      <c r="L2" s="8"/>
      <c r="M2" s="15"/>
      <c r="N2" s="23" t="s">
        <v>6</v>
      </c>
    </row>
    <row r="3" spans="1:14" s="1" customFormat="1" x14ac:dyDescent="0.2">
      <c r="A3" s="24" t="s">
        <v>7</v>
      </c>
      <c r="E3" s="15"/>
      <c r="F3" s="15"/>
      <c r="G3" s="15"/>
      <c r="H3" s="15"/>
      <c r="J3" s="8"/>
      <c r="L3" s="8"/>
      <c r="M3" s="15"/>
      <c r="N3" s="25" t="s">
        <v>0</v>
      </c>
    </row>
    <row r="4" spans="1:14" s="1" customFormat="1" ht="51" customHeight="1" x14ac:dyDescent="0.2">
      <c r="A4" s="91" t="s">
        <v>25</v>
      </c>
      <c r="B4" s="91"/>
      <c r="C4" s="91"/>
      <c r="F4" s="26" t="s">
        <v>26</v>
      </c>
      <c r="G4" s="15"/>
      <c r="I4" s="92" t="s">
        <v>25</v>
      </c>
      <c r="J4" s="92"/>
      <c r="K4" s="92"/>
      <c r="L4" s="92"/>
      <c r="M4" s="92"/>
      <c r="N4" s="92"/>
    </row>
    <row r="5" spans="1:14" s="1" customFormat="1" x14ac:dyDescent="0.2">
      <c r="A5" s="15"/>
      <c r="B5" s="15"/>
      <c r="C5" s="15"/>
      <c r="F5" s="15" t="s">
        <v>2</v>
      </c>
      <c r="G5" s="15"/>
      <c r="I5" s="15"/>
      <c r="J5" s="15"/>
      <c r="K5" s="15"/>
      <c r="L5" s="15"/>
      <c r="M5" s="15"/>
    </row>
    <row r="6" spans="1:14" s="1" customFormat="1" x14ac:dyDescent="0.2">
      <c r="A6" s="15"/>
      <c r="B6" s="15"/>
      <c r="C6" s="15"/>
      <c r="E6" s="15"/>
      <c r="F6" s="15"/>
      <c r="G6" s="15"/>
      <c r="H6" s="15"/>
      <c r="I6" s="15"/>
      <c r="J6" s="15"/>
      <c r="K6" s="15"/>
      <c r="L6" s="15"/>
      <c r="M6" s="15"/>
    </row>
    <row r="7" spans="1:14" s="1" customFormat="1" x14ac:dyDescent="0.2">
      <c r="A7" s="15"/>
      <c r="B7" s="15"/>
      <c r="C7" s="27"/>
      <c r="D7" s="28" t="s">
        <v>287</v>
      </c>
      <c r="E7" s="29"/>
      <c r="F7" s="29"/>
      <c r="G7" s="29"/>
      <c r="H7" s="29"/>
      <c r="I7" s="30"/>
      <c r="J7" s="30"/>
      <c r="K7" s="30"/>
      <c r="L7" s="30"/>
      <c r="M7" s="15"/>
    </row>
    <row r="8" spans="1:14" s="1" customFormat="1" x14ac:dyDescent="0.2">
      <c r="A8" s="15"/>
      <c r="B8" s="15"/>
      <c r="C8" s="15"/>
      <c r="D8" s="31" t="s">
        <v>21</v>
      </c>
      <c r="E8" s="22"/>
      <c r="F8" s="22"/>
      <c r="G8" s="22"/>
      <c r="I8" s="30"/>
      <c r="J8" s="30"/>
      <c r="K8" s="30"/>
      <c r="L8" s="30"/>
      <c r="M8" s="15"/>
    </row>
    <row r="9" spans="1:14" s="1" customFormat="1" ht="7.5" customHeight="1" x14ac:dyDescent="0.2">
      <c r="A9" s="32"/>
      <c r="B9" s="32"/>
      <c r="C9" s="15"/>
      <c r="E9" s="15"/>
      <c r="F9" s="15"/>
      <c r="G9" s="15"/>
      <c r="H9" s="15"/>
      <c r="I9" s="15"/>
      <c r="J9" s="15"/>
      <c r="M9" s="15"/>
    </row>
    <row r="10" spans="1:14" x14ac:dyDescent="0.2">
      <c r="A10" s="93" t="s">
        <v>27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</row>
    <row r="11" spans="1:14" x14ac:dyDescent="0.2">
      <c r="A11" s="6" t="s">
        <v>10</v>
      </c>
      <c r="B11" s="7"/>
      <c r="C11" s="94">
        <v>797663</v>
      </c>
      <c r="D11" s="94"/>
      <c r="E11" s="94"/>
      <c r="F11" s="8" t="s">
        <v>9</v>
      </c>
      <c r="G11" s="9"/>
      <c r="H11" s="9"/>
      <c r="I11" s="9"/>
      <c r="J11" s="9"/>
    </row>
    <row r="12" spans="1:14" x14ac:dyDescent="0.2">
      <c r="A12" s="6" t="s">
        <v>20</v>
      </c>
      <c r="B12" s="7"/>
      <c r="C12" s="10"/>
      <c r="D12" s="95">
        <v>126220</v>
      </c>
      <c r="E12" s="95"/>
      <c r="F12" s="8" t="s">
        <v>9</v>
      </c>
      <c r="G12" s="9"/>
      <c r="H12" s="9"/>
      <c r="I12" s="9"/>
      <c r="J12" s="9"/>
    </row>
    <row r="13" spans="1:14" x14ac:dyDescent="0.2">
      <c r="A13" s="6" t="s">
        <v>286</v>
      </c>
      <c r="B13" s="2"/>
      <c r="C13" s="11"/>
      <c r="D13" s="12"/>
      <c r="E13" s="13"/>
      <c r="F13" s="34"/>
      <c r="G13" s="14"/>
      <c r="H13" s="14"/>
      <c r="I13" s="9"/>
      <c r="J13" s="9"/>
    </row>
    <row r="14" spans="1:14" ht="11.25" customHeight="1" x14ac:dyDescent="0.2">
      <c r="A14" s="15"/>
      <c r="B14" s="8"/>
      <c r="C14" s="8"/>
      <c r="D14" s="15"/>
      <c r="E14" s="9"/>
      <c r="F14" s="9"/>
      <c r="G14" s="9"/>
      <c r="H14" s="10"/>
      <c r="I14" s="9"/>
      <c r="J14" s="9"/>
      <c r="K14" s="9"/>
      <c r="L14" s="9"/>
      <c r="M14" s="9"/>
      <c r="N14" s="2" t="s">
        <v>9</v>
      </c>
    </row>
    <row r="15" spans="1:14" ht="12.75" customHeight="1" x14ac:dyDescent="0.2">
      <c r="A15" s="88" t="s">
        <v>3</v>
      </c>
      <c r="B15" s="88" t="s">
        <v>17</v>
      </c>
      <c r="C15" s="74" t="s">
        <v>22</v>
      </c>
      <c r="D15" s="74" t="s">
        <v>18</v>
      </c>
      <c r="E15" s="80" t="s">
        <v>23</v>
      </c>
      <c r="F15" s="81"/>
      <c r="G15" s="82"/>
      <c r="H15" s="74" t="s">
        <v>4</v>
      </c>
      <c r="I15" s="80" t="s">
        <v>24</v>
      </c>
      <c r="J15" s="86"/>
      <c r="K15" s="86"/>
      <c r="L15" s="77"/>
      <c r="M15" s="76" t="s">
        <v>19</v>
      </c>
      <c r="N15" s="77"/>
    </row>
    <row r="16" spans="1:14" s="4" customFormat="1" ht="38.25" customHeight="1" x14ac:dyDescent="0.2">
      <c r="A16" s="89"/>
      <c r="B16" s="89"/>
      <c r="C16" s="89"/>
      <c r="D16" s="89"/>
      <c r="E16" s="83"/>
      <c r="F16" s="84"/>
      <c r="G16" s="85"/>
      <c r="H16" s="89"/>
      <c r="I16" s="78"/>
      <c r="J16" s="87"/>
      <c r="K16" s="87"/>
      <c r="L16" s="79"/>
      <c r="M16" s="78"/>
      <c r="N16" s="79"/>
    </row>
    <row r="17" spans="1:35" s="4" customFormat="1" ht="12.75" customHeight="1" x14ac:dyDescent="0.2">
      <c r="A17" s="89"/>
      <c r="B17" s="89"/>
      <c r="C17" s="89"/>
      <c r="D17" s="89"/>
      <c r="E17" s="35" t="s">
        <v>12</v>
      </c>
      <c r="F17" s="35" t="s">
        <v>14</v>
      </c>
      <c r="G17" s="74" t="s">
        <v>16</v>
      </c>
      <c r="H17" s="89"/>
      <c r="I17" s="74" t="s">
        <v>12</v>
      </c>
      <c r="J17" s="74" t="s">
        <v>15</v>
      </c>
      <c r="K17" s="35" t="s">
        <v>14</v>
      </c>
      <c r="L17" s="74" t="s">
        <v>16</v>
      </c>
      <c r="M17" s="88" t="s">
        <v>8</v>
      </c>
      <c r="N17" s="74" t="s">
        <v>12</v>
      </c>
    </row>
    <row r="18" spans="1:35" s="4" customFormat="1" ht="11.25" customHeight="1" x14ac:dyDescent="0.2">
      <c r="A18" s="75"/>
      <c r="B18" s="75"/>
      <c r="C18" s="75"/>
      <c r="D18" s="75"/>
      <c r="E18" s="36" t="s">
        <v>11</v>
      </c>
      <c r="F18" s="35" t="s">
        <v>13</v>
      </c>
      <c r="G18" s="75"/>
      <c r="H18" s="75"/>
      <c r="I18" s="75"/>
      <c r="J18" s="75"/>
      <c r="K18" s="35" t="s">
        <v>13</v>
      </c>
      <c r="L18" s="75"/>
      <c r="M18" s="75"/>
      <c r="N18" s="75"/>
    </row>
    <row r="19" spans="1:35" x14ac:dyDescent="0.2">
      <c r="A19" s="40">
        <v>1</v>
      </c>
      <c r="B19" s="40">
        <v>2</v>
      </c>
      <c r="C19" s="40">
        <v>3</v>
      </c>
      <c r="D19" s="40">
        <v>4</v>
      </c>
      <c r="E19" s="40">
        <v>5</v>
      </c>
      <c r="F19" s="40">
        <v>6</v>
      </c>
      <c r="G19" s="40">
        <v>7</v>
      </c>
      <c r="H19" s="40">
        <v>7</v>
      </c>
      <c r="I19" s="40">
        <v>8</v>
      </c>
      <c r="J19" s="40">
        <v>9</v>
      </c>
      <c r="K19" s="40">
        <v>10</v>
      </c>
      <c r="L19" s="40">
        <v>12</v>
      </c>
      <c r="M19" s="40">
        <v>11</v>
      </c>
      <c r="N19" s="40">
        <v>12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41"/>
      <c r="AB19" s="42"/>
      <c r="AC19" s="42"/>
      <c r="AD19" s="42"/>
      <c r="AE19" s="42"/>
      <c r="AF19" s="43"/>
      <c r="AG19" s="42"/>
      <c r="AH19" s="42"/>
      <c r="AI19" s="42"/>
    </row>
    <row r="20" spans="1:35" ht="21" customHeight="1" x14ac:dyDescent="0.2">
      <c r="A20" s="72" t="s">
        <v>29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</row>
    <row r="21" spans="1:35" ht="96.75" customHeight="1" x14ac:dyDescent="0.2">
      <c r="A21" s="44">
        <v>1</v>
      </c>
      <c r="B21" s="45" t="s">
        <v>30</v>
      </c>
      <c r="C21" s="46" t="str">
        <f t="shared" ref="C21:C38" ca="1" si="0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Шкаф (пульт) управления навесной, высота, ширина и глубина: до 600х600х350 мм (Шкаф силовой)
1 шт.
377 руб. НР 85%=100%*0,85 от ФОТ (444 руб.)
231 руб.СП 52%=65%*0,8 от ФОТ (444 руб.)
</v>
      </c>
      <c r="D21" s="44">
        <v>1</v>
      </c>
      <c r="E21" s="47" t="s">
        <v>31</v>
      </c>
      <c r="F21" s="47" t="s">
        <v>32</v>
      </c>
      <c r="G21" s="47">
        <v>3</v>
      </c>
      <c r="H21" s="48" t="s">
        <v>33</v>
      </c>
      <c r="I21" s="49">
        <v>733</v>
      </c>
      <c r="J21" s="47">
        <v>395</v>
      </c>
      <c r="K21" s="47" t="s">
        <v>34</v>
      </c>
      <c r="L21" s="47" t="str">
        <f>IF(1*3=0," ",TEXT(,ROUND((1*3*4.2),2)))</f>
        <v>12.6</v>
      </c>
      <c r="M21" s="47" t="s">
        <v>35</v>
      </c>
      <c r="N21" s="47" t="s">
        <v>35</v>
      </c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1" t="s">
        <v>36</v>
      </c>
      <c r="AB21" s="51" t="s">
        <v>37</v>
      </c>
      <c r="AC21" s="51">
        <v>377</v>
      </c>
      <c r="AD21" s="51">
        <v>231</v>
      </c>
      <c r="AE21" s="51"/>
      <c r="AF21" s="52" t="s">
        <v>38</v>
      </c>
      <c r="AG21" s="51" t="s">
        <v>39</v>
      </c>
      <c r="AH21" s="51"/>
      <c r="AI21" s="51">
        <f>395+49</f>
        <v>444</v>
      </c>
    </row>
    <row r="22" spans="1:35" ht="72.75" customHeight="1" x14ac:dyDescent="0.2">
      <c r="A22" s="44">
        <v>2</v>
      </c>
      <c r="B22" s="45" t="s">
        <v>40</v>
      </c>
      <c r="C22" s="46" t="str">
        <f t="shared" ca="1" si="0"/>
        <v xml:space="preserve">Прибор или аппарат
1 шт.
1552 руб. НР 85%=100%*0,85 от ФОТ (1826 руб.)
950 руб.СП 52%=65%*0,8 от ФОТ (1826 руб.)
</v>
      </c>
      <c r="D22" s="44">
        <v>10</v>
      </c>
      <c r="E22" s="47" t="s">
        <v>41</v>
      </c>
      <c r="F22" s="47"/>
      <c r="G22" s="47">
        <v>0.4</v>
      </c>
      <c r="H22" s="48" t="s">
        <v>42</v>
      </c>
      <c r="I22" s="49">
        <v>1850</v>
      </c>
      <c r="J22" s="47">
        <v>1826</v>
      </c>
      <c r="K22" s="47"/>
      <c r="L22" s="47" t="str">
        <f>IF(10*0.4=0," ",TEXT(,ROUND((10*0.4*6.03),2)))</f>
        <v>24.12</v>
      </c>
      <c r="M22" s="47">
        <v>1.1200000000000001</v>
      </c>
      <c r="N22" s="47">
        <v>11.2</v>
      </c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1" t="s">
        <v>36</v>
      </c>
      <c r="AB22" s="51" t="s">
        <v>37</v>
      </c>
      <c r="AC22" s="51">
        <v>1552</v>
      </c>
      <c r="AD22" s="51">
        <v>950</v>
      </c>
      <c r="AE22" s="51"/>
      <c r="AF22" s="52" t="s">
        <v>43</v>
      </c>
      <c r="AG22" s="51" t="s">
        <v>39</v>
      </c>
      <c r="AH22" s="51"/>
      <c r="AI22" s="51">
        <f>1826+0</f>
        <v>1826</v>
      </c>
    </row>
    <row r="23" spans="1:35" ht="89.25" x14ac:dyDescent="0.2">
      <c r="A23" s="44">
        <v>3</v>
      </c>
      <c r="B23" s="45" t="s">
        <v>44</v>
      </c>
      <c r="C23" s="46" t="str">
        <f t="shared" ca="1" si="0"/>
        <v xml:space="preserve">Ящик для трубных проводок протяжной или коробка, размер: до 200х200 мм
1 шт.
1362 руб. НР 89%=105%*0,85 от ФОТ (1530 руб.)
796 руб.СП 52%=65%*0,8 от ФОТ (1530 руб.)
</v>
      </c>
      <c r="D23" s="44">
        <v>10</v>
      </c>
      <c r="E23" s="47" t="s">
        <v>45</v>
      </c>
      <c r="F23" s="47">
        <v>0.27</v>
      </c>
      <c r="G23" s="47">
        <v>1.33</v>
      </c>
      <c r="H23" s="48" t="s">
        <v>46</v>
      </c>
      <c r="I23" s="49">
        <v>1590</v>
      </c>
      <c r="J23" s="47">
        <v>1530</v>
      </c>
      <c r="K23" s="47">
        <v>22</v>
      </c>
      <c r="L23" s="47" t="str">
        <f>IF(10*1.33=0," ",TEXT(,ROUND((10*1.33*2.95),2)))</f>
        <v>39.24</v>
      </c>
      <c r="M23" s="47">
        <v>1.0900000000000001</v>
      </c>
      <c r="N23" s="47">
        <v>10.9</v>
      </c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1" t="s">
        <v>47</v>
      </c>
      <c r="AB23" s="51" t="s">
        <v>37</v>
      </c>
      <c r="AC23" s="51">
        <v>1362</v>
      </c>
      <c r="AD23" s="51">
        <v>796</v>
      </c>
      <c r="AE23" s="51"/>
      <c r="AF23" s="52" t="s">
        <v>48</v>
      </c>
      <c r="AG23" s="51" t="s">
        <v>39</v>
      </c>
      <c r="AH23" s="51"/>
      <c r="AI23" s="51">
        <f>1530+0</f>
        <v>1530</v>
      </c>
    </row>
    <row r="24" spans="1:35" ht="89.25" x14ac:dyDescent="0.2">
      <c r="A24" s="44">
        <v>4</v>
      </c>
      <c r="B24" s="45" t="s">
        <v>49</v>
      </c>
      <c r="C24" s="46" t="str">
        <f t="shared" ca="1" si="0"/>
        <v xml:space="preserve">Съемные и выдвижные блоки (модули, ячейки, ТЭЗ), масса: до 5 кг
1 шт.
243 руб. НР 82%=97%*0,85 от ФОТ (296 руб.)
154 руб.СП 52%=65%*0,8 от ФОТ (296 руб.)
</v>
      </c>
      <c r="D24" s="44">
        <v>2</v>
      </c>
      <c r="E24" s="47" t="s">
        <v>50</v>
      </c>
      <c r="F24" s="47">
        <v>0.87</v>
      </c>
      <c r="G24" s="47">
        <v>0.18</v>
      </c>
      <c r="H24" s="48" t="s">
        <v>51</v>
      </c>
      <c r="I24" s="49">
        <v>319</v>
      </c>
      <c r="J24" s="47">
        <v>296</v>
      </c>
      <c r="K24" s="47">
        <v>23</v>
      </c>
      <c r="L24" s="47" t="str">
        <f>IF(2*0.18=0," ",TEXT(,ROUND((2*0.18*5.58),2)))</f>
        <v>2.01</v>
      </c>
      <c r="M24" s="47">
        <v>1.03</v>
      </c>
      <c r="N24" s="47">
        <v>2.06</v>
      </c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1" t="s">
        <v>52</v>
      </c>
      <c r="AB24" s="51" t="s">
        <v>37</v>
      </c>
      <c r="AC24" s="51">
        <v>243</v>
      </c>
      <c r="AD24" s="51">
        <v>154</v>
      </c>
      <c r="AE24" s="51"/>
      <c r="AF24" s="52" t="s">
        <v>53</v>
      </c>
      <c r="AG24" s="51" t="s">
        <v>39</v>
      </c>
      <c r="AH24" s="51"/>
      <c r="AI24" s="51">
        <f>296+0</f>
        <v>296</v>
      </c>
    </row>
    <row r="25" spans="1:35" ht="83.25" customHeight="1" x14ac:dyDescent="0.2">
      <c r="A25" s="44">
        <v>5</v>
      </c>
      <c r="B25" s="45" t="s">
        <v>54</v>
      </c>
      <c r="C25" s="46" t="str">
        <f t="shared" ca="1" si="0"/>
        <v xml:space="preserve">Реле, ключ, кнопка и др. с подготовкой места установки
1 шт.
397 руб. НР 71%=84%*0,85 от ФОТ (559 руб.)
268 руб.СП 48%=60%*0,8 от ФОТ (559 руб.)
</v>
      </c>
      <c r="D25" s="44">
        <v>2</v>
      </c>
      <c r="E25" s="47" t="s">
        <v>55</v>
      </c>
      <c r="F25" s="47"/>
      <c r="G25" s="47">
        <v>0.34</v>
      </c>
      <c r="H25" s="48" t="s">
        <v>56</v>
      </c>
      <c r="I25" s="49">
        <v>565</v>
      </c>
      <c r="J25" s="47">
        <v>559</v>
      </c>
      <c r="K25" s="47"/>
      <c r="L25" s="47" t="str">
        <f>IF(2*0.34=0," ",TEXT(,ROUND((2*0.34*5.59),2)))</f>
        <v>3.8</v>
      </c>
      <c r="M25" s="47">
        <v>2</v>
      </c>
      <c r="N25" s="47">
        <v>4</v>
      </c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1" t="s">
        <v>57</v>
      </c>
      <c r="AB25" s="51" t="s">
        <v>58</v>
      </c>
      <c r="AC25" s="51">
        <v>397</v>
      </c>
      <c r="AD25" s="51">
        <v>268</v>
      </c>
      <c r="AE25" s="51"/>
      <c r="AF25" s="52" t="s">
        <v>59</v>
      </c>
      <c r="AG25" s="51" t="s">
        <v>39</v>
      </c>
      <c r="AH25" s="51"/>
      <c r="AI25" s="51">
        <f>559+0</f>
        <v>559</v>
      </c>
    </row>
    <row r="26" spans="1:35" ht="102" x14ac:dyDescent="0.2">
      <c r="A26" s="44">
        <v>6</v>
      </c>
      <c r="B26" s="45" t="s">
        <v>60</v>
      </c>
      <c r="C26" s="46" t="str">
        <f t="shared" ca="1" si="0"/>
        <v xml:space="preserve">Приборы, устанавливаемые на металлоконструкциях, щитах и пультах, масса: до 5 кг Регулятор
1 шт.
117 руб. НР 71%=84%*0,85 от ФОТ (165 руб.)
79 руб.СП 48%=60%*0,8 от ФОТ (165 руб.)
</v>
      </c>
      <c r="D26" s="44">
        <v>2</v>
      </c>
      <c r="E26" s="47" t="s">
        <v>61</v>
      </c>
      <c r="F26" s="47"/>
      <c r="G26" s="47">
        <v>1.0900000000000001</v>
      </c>
      <c r="H26" s="48" t="s">
        <v>62</v>
      </c>
      <c r="I26" s="49">
        <v>171</v>
      </c>
      <c r="J26" s="47">
        <v>165</v>
      </c>
      <c r="K26" s="47"/>
      <c r="L26" s="47" t="str">
        <f>IF(2*1.09=0," ",TEXT(,ROUND((2*1.09*2.9),2)))</f>
        <v>6.32</v>
      </c>
      <c r="M26" s="47">
        <v>0.52</v>
      </c>
      <c r="N26" s="47">
        <v>1.04</v>
      </c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1" t="s">
        <v>57</v>
      </c>
      <c r="AB26" s="51" t="s">
        <v>58</v>
      </c>
      <c r="AC26" s="51">
        <v>117</v>
      </c>
      <c r="AD26" s="51">
        <v>79</v>
      </c>
      <c r="AE26" s="51"/>
      <c r="AF26" s="52" t="s">
        <v>63</v>
      </c>
      <c r="AG26" s="51" t="s">
        <v>39</v>
      </c>
      <c r="AH26" s="51"/>
      <c r="AI26" s="51">
        <f>165+0</f>
        <v>165</v>
      </c>
    </row>
    <row r="27" spans="1:35" ht="89.25" x14ac:dyDescent="0.2">
      <c r="A27" s="44">
        <v>7</v>
      </c>
      <c r="B27" s="45" t="s">
        <v>64</v>
      </c>
      <c r="C27" s="46" t="str">
        <f t="shared" ca="1" si="0"/>
        <v xml:space="preserve">Провод, количество проводов в резинобитумной трубке: до 3, сечение провода до 70 мм2
100 м трубок
2474 руб. НР 85%=100%*0,85 от ФОТ (2911 руб.)
1514 руб.СП 52%=65%*0,8 от ФОТ (2911 руб.)
</v>
      </c>
      <c r="D27" s="44">
        <v>0.4</v>
      </c>
      <c r="E27" s="47" t="s">
        <v>65</v>
      </c>
      <c r="F27" s="47" t="s">
        <v>66</v>
      </c>
      <c r="G27" s="47">
        <v>91.6</v>
      </c>
      <c r="H27" s="48" t="s">
        <v>67</v>
      </c>
      <c r="I27" s="49">
        <v>3778</v>
      </c>
      <c r="J27" s="47">
        <v>2829</v>
      </c>
      <c r="K27" s="47" t="s">
        <v>68</v>
      </c>
      <c r="L27" s="47" t="str">
        <f>IF(0.4*91.6=0," ",TEXT(,ROUND((0.4*91.6*4.29),2)))</f>
        <v>157.19</v>
      </c>
      <c r="M27" s="47" t="s">
        <v>69</v>
      </c>
      <c r="N27" s="47" t="s">
        <v>70</v>
      </c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1" t="s">
        <v>36</v>
      </c>
      <c r="AB27" s="51" t="s">
        <v>37</v>
      </c>
      <c r="AC27" s="51">
        <v>2474</v>
      </c>
      <c r="AD27" s="51">
        <v>1514</v>
      </c>
      <c r="AE27" s="51"/>
      <c r="AF27" s="52" t="s">
        <v>71</v>
      </c>
      <c r="AG27" s="51" t="s">
        <v>72</v>
      </c>
      <c r="AH27" s="51"/>
      <c r="AI27" s="51">
        <f>2829+82</f>
        <v>2911</v>
      </c>
    </row>
    <row r="28" spans="1:35" ht="102" x14ac:dyDescent="0.2">
      <c r="A28" s="44">
        <v>8</v>
      </c>
      <c r="B28" s="45" t="s">
        <v>73</v>
      </c>
      <c r="C28" s="46" t="str">
        <f t="shared" ca="1" si="0"/>
        <v xml:space="preserve">Кабель до 35 кВ в проложенных трубах, блоках и коробах, масса 1 м кабеля: до 1 кг
100 м кабеля
12319 руб. НР 85%=100%*0,85 от ФОТ (14493 руб.)
7536 руб.СП 52%=65%*0,8 от ФОТ (14493 руб.)
</v>
      </c>
      <c r="D28" s="44" t="s">
        <v>74</v>
      </c>
      <c r="E28" s="47" t="s">
        <v>75</v>
      </c>
      <c r="F28" s="47" t="s">
        <v>76</v>
      </c>
      <c r="G28" s="47">
        <v>37.56</v>
      </c>
      <c r="H28" s="48" t="s">
        <v>77</v>
      </c>
      <c r="I28" s="49">
        <v>19351</v>
      </c>
      <c r="J28" s="47">
        <v>14098</v>
      </c>
      <c r="K28" s="47" t="s">
        <v>78</v>
      </c>
      <c r="L28" s="47" t="str">
        <f>IF(8.98*37.56=0," ",TEXT(,ROUND((8.98*37.56*6.75),2)))</f>
        <v>2276.7</v>
      </c>
      <c r="M28" s="47" t="s">
        <v>79</v>
      </c>
      <c r="N28" s="47" t="s">
        <v>80</v>
      </c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1" t="s">
        <v>36</v>
      </c>
      <c r="AB28" s="51" t="s">
        <v>37</v>
      </c>
      <c r="AC28" s="51">
        <v>12319</v>
      </c>
      <c r="AD28" s="51">
        <v>7536</v>
      </c>
      <c r="AE28" s="51"/>
      <c r="AF28" s="52" t="s">
        <v>81</v>
      </c>
      <c r="AG28" s="51" t="s">
        <v>82</v>
      </c>
      <c r="AH28" s="51"/>
      <c r="AI28" s="51">
        <f>14098+395</f>
        <v>14493</v>
      </c>
    </row>
    <row r="29" spans="1:35" ht="97.5" customHeight="1" x14ac:dyDescent="0.2">
      <c r="A29" s="44">
        <v>9</v>
      </c>
      <c r="B29" s="45" t="s">
        <v>83</v>
      </c>
      <c r="C29" s="46" t="str">
        <f t="shared" ca="1" si="0"/>
        <v xml:space="preserve">Труба стальная по установленным конструкциям, по стенам с креплением скобами, диаметр: до 25 мм
100 м
11591 руб. НР 85%=100%*0,85 от ФОТ (13637 руб.)
7091 руб.СП 52%=65%*0,8 от ФОТ (13637 руб.)
</v>
      </c>
      <c r="D29" s="44">
        <v>3.5</v>
      </c>
      <c r="E29" s="47" t="s">
        <v>84</v>
      </c>
      <c r="F29" s="47" t="s">
        <v>85</v>
      </c>
      <c r="G29" s="47">
        <v>228.04</v>
      </c>
      <c r="H29" s="48" t="s">
        <v>86</v>
      </c>
      <c r="I29" s="49">
        <v>23600</v>
      </c>
      <c r="J29" s="47">
        <v>13341</v>
      </c>
      <c r="K29" s="47" t="s">
        <v>87</v>
      </c>
      <c r="L29" s="47" t="str">
        <f>IF(3.5*228.04=0," ",TEXT(,ROUND((3.5*228.04*7.44),2)))</f>
        <v>5938.16</v>
      </c>
      <c r="M29" s="47" t="s">
        <v>88</v>
      </c>
      <c r="N29" s="47" t="s">
        <v>89</v>
      </c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1" t="s">
        <v>36</v>
      </c>
      <c r="AB29" s="51" t="s">
        <v>37</v>
      </c>
      <c r="AC29" s="51">
        <v>11591</v>
      </c>
      <c r="AD29" s="51">
        <v>7091</v>
      </c>
      <c r="AE29" s="51"/>
      <c r="AF29" s="52" t="s">
        <v>90</v>
      </c>
      <c r="AG29" s="51" t="s">
        <v>91</v>
      </c>
      <c r="AH29" s="51"/>
      <c r="AI29" s="51">
        <f>13341+296</f>
        <v>13637</v>
      </c>
    </row>
    <row r="30" spans="1:35" ht="89.25" x14ac:dyDescent="0.2">
      <c r="A30" s="44">
        <v>10</v>
      </c>
      <c r="B30" s="45" t="s">
        <v>73</v>
      </c>
      <c r="C30" s="46" t="str">
        <f t="shared" ca="1" si="0"/>
        <v xml:space="preserve">Кабель до 35 кВ в проложенных трубах, блоках и коробах, масса 1 м кабеля: до 1 кг
100 м кабеля
4796 руб. НР 85%=100%*0,85 от ФОТ (5642 руб.)
2934 руб.СП 52%=65%*0,8 от ФОТ (5642 руб.)
</v>
      </c>
      <c r="D30" s="44">
        <v>3.5</v>
      </c>
      <c r="E30" s="47" t="s">
        <v>75</v>
      </c>
      <c r="F30" s="47" t="s">
        <v>76</v>
      </c>
      <c r="G30" s="47">
        <v>37.56</v>
      </c>
      <c r="H30" s="48" t="s">
        <v>77</v>
      </c>
      <c r="I30" s="49">
        <v>7537</v>
      </c>
      <c r="J30" s="47">
        <v>5494</v>
      </c>
      <c r="K30" s="47" t="s">
        <v>92</v>
      </c>
      <c r="L30" s="47" t="str">
        <f>IF(3.5*37.56=0," ",TEXT(,ROUND((3.5*37.56*6.75),2)))</f>
        <v>887.36</v>
      </c>
      <c r="M30" s="47" t="s">
        <v>79</v>
      </c>
      <c r="N30" s="47" t="s">
        <v>93</v>
      </c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1" t="s">
        <v>36</v>
      </c>
      <c r="AB30" s="51" t="s">
        <v>37</v>
      </c>
      <c r="AC30" s="51">
        <v>4796</v>
      </c>
      <c r="AD30" s="51">
        <v>2934</v>
      </c>
      <c r="AE30" s="51"/>
      <c r="AF30" s="52" t="s">
        <v>81</v>
      </c>
      <c r="AG30" s="51" t="s">
        <v>82</v>
      </c>
      <c r="AH30" s="51"/>
      <c r="AI30" s="51">
        <f>5494+148</f>
        <v>5642</v>
      </c>
    </row>
    <row r="31" spans="1:35" ht="89.25" x14ac:dyDescent="0.2">
      <c r="A31" s="44">
        <v>11</v>
      </c>
      <c r="B31" s="45" t="s">
        <v>94</v>
      </c>
      <c r="C31" s="46" t="str">
        <f t="shared" ca="1" si="0"/>
        <v xml:space="preserve">Электрические проводки в щитах и пультах: малогабаритных
100 м
245 руб. НР 71%=84%*0,85 от ФОТ (345 руб.)
166 руб.СП 48%=60%*0,8 от ФОТ (345 руб.)
</v>
      </c>
      <c r="D31" s="44">
        <v>0.15</v>
      </c>
      <c r="E31" s="47" t="s">
        <v>95</v>
      </c>
      <c r="F31" s="47"/>
      <c r="G31" s="47">
        <v>9.67</v>
      </c>
      <c r="H31" s="48" t="s">
        <v>96</v>
      </c>
      <c r="I31" s="49">
        <v>349</v>
      </c>
      <c r="J31" s="47">
        <v>345</v>
      </c>
      <c r="K31" s="47"/>
      <c r="L31" s="47" t="str">
        <f>IF(0.15*9.67=0," ",TEXT(,ROUND((0.15*9.67*3.77),2)))</f>
        <v>5.47</v>
      </c>
      <c r="M31" s="47">
        <v>12.4</v>
      </c>
      <c r="N31" s="47">
        <v>1.86</v>
      </c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1" t="s">
        <v>57</v>
      </c>
      <c r="AB31" s="51" t="s">
        <v>58</v>
      </c>
      <c r="AC31" s="51">
        <v>245</v>
      </c>
      <c r="AD31" s="51">
        <v>166</v>
      </c>
      <c r="AE31" s="51"/>
      <c r="AF31" s="52" t="s">
        <v>97</v>
      </c>
      <c r="AG31" s="51" t="s">
        <v>91</v>
      </c>
      <c r="AH31" s="51"/>
      <c r="AI31" s="51">
        <f>345+0</f>
        <v>345</v>
      </c>
    </row>
    <row r="32" spans="1:35" ht="114.75" x14ac:dyDescent="0.2">
      <c r="A32" s="44">
        <v>12</v>
      </c>
      <c r="B32" s="45" t="s">
        <v>98</v>
      </c>
      <c r="C32" s="46" t="str">
        <f t="shared" ca="1" si="0"/>
        <v xml:space="preserve">Заделка концевая с термоусаживающимися полиэтиленовыми перчатками для 3-4-жильного кабеля с бумажной изоляцией напряжением до 1 кВ, сечение одной жилы: до 35 мм2
1 шт.
1482 руб. НР 85%=100%*0,85 от ФОТ (1744 руб.)
907 руб.СП 52%=65%*0,8 от ФОТ (1744 руб.)
</v>
      </c>
      <c r="D32" s="44">
        <v>10</v>
      </c>
      <c r="E32" s="47" t="s">
        <v>99</v>
      </c>
      <c r="F32" s="47"/>
      <c r="G32" s="47">
        <v>4.17</v>
      </c>
      <c r="H32" s="48" t="s">
        <v>100</v>
      </c>
      <c r="I32" s="49">
        <v>2093</v>
      </c>
      <c r="J32" s="47">
        <v>1744</v>
      </c>
      <c r="K32" s="47"/>
      <c r="L32" s="47" t="str">
        <f>IF(10*4.17=0," ",TEXT(,ROUND((10*4.17*8.31),2)))</f>
        <v>346.53</v>
      </c>
      <c r="M32" s="47">
        <v>1.1000000000000001</v>
      </c>
      <c r="N32" s="47">
        <v>11</v>
      </c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1" t="s">
        <v>36</v>
      </c>
      <c r="AB32" s="51" t="s">
        <v>37</v>
      </c>
      <c r="AC32" s="51">
        <v>1482</v>
      </c>
      <c r="AD32" s="51">
        <v>907</v>
      </c>
      <c r="AE32" s="51"/>
      <c r="AF32" s="52" t="s">
        <v>101</v>
      </c>
      <c r="AG32" s="51" t="s">
        <v>39</v>
      </c>
      <c r="AH32" s="51"/>
      <c r="AI32" s="51">
        <f>1744+0</f>
        <v>1744</v>
      </c>
    </row>
    <row r="33" spans="1:35" ht="102" x14ac:dyDescent="0.2">
      <c r="A33" s="44">
        <v>13</v>
      </c>
      <c r="B33" s="45" t="s">
        <v>102</v>
      </c>
      <c r="C33" s="46" t="str">
        <f t="shared" ca="1" si="0"/>
        <v xml:space="preserve">Проводник заземляющий открыто по строительным основаниям: из круглой стали диаметром 12 мм
100 м
280 руб. НР 85%=100%*0,85 от ФОТ (329 руб.)
171 руб.СП 52%=65%*0,8 от ФОТ (329 руб.)
</v>
      </c>
      <c r="D33" s="44">
        <v>0.1</v>
      </c>
      <c r="E33" s="47" t="s">
        <v>103</v>
      </c>
      <c r="F33" s="47" t="s">
        <v>104</v>
      </c>
      <c r="G33" s="47">
        <v>105.21</v>
      </c>
      <c r="H33" s="48" t="s">
        <v>105</v>
      </c>
      <c r="I33" s="49">
        <v>426</v>
      </c>
      <c r="J33" s="47">
        <v>329</v>
      </c>
      <c r="K33" s="47">
        <v>58</v>
      </c>
      <c r="L33" s="47" t="str">
        <f>IF(0.1*105.21=0," ",TEXT(,ROUND((0.1*105.21*3.63),2)))</f>
        <v>38.19</v>
      </c>
      <c r="M33" s="47" t="s">
        <v>106</v>
      </c>
      <c r="N33" s="47" t="s">
        <v>107</v>
      </c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1" t="s">
        <v>36</v>
      </c>
      <c r="AB33" s="51" t="s">
        <v>37</v>
      </c>
      <c r="AC33" s="51">
        <v>280</v>
      </c>
      <c r="AD33" s="51">
        <v>171</v>
      </c>
      <c r="AE33" s="51"/>
      <c r="AF33" s="52" t="s">
        <v>108</v>
      </c>
      <c r="AG33" s="51" t="s">
        <v>91</v>
      </c>
      <c r="AH33" s="51"/>
      <c r="AI33" s="51">
        <f>329+0</f>
        <v>329</v>
      </c>
    </row>
    <row r="34" spans="1:35" ht="91.5" customHeight="1" x14ac:dyDescent="0.2">
      <c r="A34" s="44">
        <v>14</v>
      </c>
      <c r="B34" s="45" t="s">
        <v>109</v>
      </c>
      <c r="C34" s="46" t="str">
        <f t="shared" ca="1" si="0"/>
        <v xml:space="preserve">Проводник заземляющий открыто по строительным основаниям: из круглой стали диаметром 8 мм
100 м
11186 руб. НР 85%=100%*0,85 от ФОТ (13160 руб.)
6843 руб.СП 52%=65%*0,8 от ФОТ (13160 руб.)
</v>
      </c>
      <c r="D34" s="44">
        <v>4.2</v>
      </c>
      <c r="E34" s="47" t="s">
        <v>110</v>
      </c>
      <c r="F34" s="47" t="s">
        <v>111</v>
      </c>
      <c r="G34" s="47">
        <v>301.01</v>
      </c>
      <c r="H34" s="48" t="s">
        <v>105</v>
      </c>
      <c r="I34" s="49">
        <v>19454</v>
      </c>
      <c r="J34" s="47">
        <v>13061</v>
      </c>
      <c r="K34" s="47" t="s">
        <v>112</v>
      </c>
      <c r="L34" s="47" t="str">
        <f>IF(4.2*301.01=0," ",TEXT(,ROUND((4.2*301.01*3.63),2)))</f>
        <v>4589.2</v>
      </c>
      <c r="M34" s="47" t="s">
        <v>113</v>
      </c>
      <c r="N34" s="47" t="s">
        <v>114</v>
      </c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1" t="s">
        <v>36</v>
      </c>
      <c r="AB34" s="51" t="s">
        <v>37</v>
      </c>
      <c r="AC34" s="51">
        <v>11186</v>
      </c>
      <c r="AD34" s="51">
        <v>6843</v>
      </c>
      <c r="AE34" s="51"/>
      <c r="AF34" s="52" t="s">
        <v>115</v>
      </c>
      <c r="AG34" s="51" t="s">
        <v>91</v>
      </c>
      <c r="AH34" s="51"/>
      <c r="AI34" s="51">
        <f>13061+99</f>
        <v>13160</v>
      </c>
    </row>
    <row r="35" spans="1:35" ht="102" x14ac:dyDescent="0.2">
      <c r="A35" s="44">
        <v>15</v>
      </c>
      <c r="B35" s="45" t="s">
        <v>109</v>
      </c>
      <c r="C35" s="46" t="str">
        <f t="shared" ca="1" si="0"/>
        <v xml:space="preserve">Проводник заземляющий открыто по строительным основаниям: из круглой стали диаметром 8 мм
100 м
5593 руб. НР 85%=100%*0,85 от ФОТ (6580 руб.)
3422 руб.СП 52%=65%*0,8 от ФОТ (6580 руб.)
</v>
      </c>
      <c r="D35" s="44">
        <v>2.1</v>
      </c>
      <c r="E35" s="47" t="s">
        <v>110</v>
      </c>
      <c r="F35" s="47" t="s">
        <v>111</v>
      </c>
      <c r="G35" s="47">
        <v>301.01</v>
      </c>
      <c r="H35" s="48" t="s">
        <v>105</v>
      </c>
      <c r="I35" s="49">
        <v>9724</v>
      </c>
      <c r="J35" s="47">
        <v>6531</v>
      </c>
      <c r="K35" s="47" t="s">
        <v>116</v>
      </c>
      <c r="L35" s="47" t="str">
        <f>IF(2.1*301.01=0," ",TEXT(,ROUND((2.1*301.01*3.63),2)))</f>
        <v>2294.6</v>
      </c>
      <c r="M35" s="47" t="s">
        <v>113</v>
      </c>
      <c r="N35" s="47" t="s">
        <v>117</v>
      </c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1" t="s">
        <v>36</v>
      </c>
      <c r="AB35" s="51" t="s">
        <v>37</v>
      </c>
      <c r="AC35" s="51">
        <v>5593</v>
      </c>
      <c r="AD35" s="51">
        <v>3422</v>
      </c>
      <c r="AE35" s="51"/>
      <c r="AF35" s="52" t="s">
        <v>115</v>
      </c>
      <c r="AG35" s="51" t="s">
        <v>91</v>
      </c>
      <c r="AH35" s="51"/>
      <c r="AI35" s="51">
        <f>6531+49</f>
        <v>6580</v>
      </c>
    </row>
    <row r="36" spans="1:35" ht="63.75" x14ac:dyDescent="0.2">
      <c r="A36" s="44">
        <v>16</v>
      </c>
      <c r="B36" s="45" t="s">
        <v>118</v>
      </c>
      <c r="C36" s="46" t="str">
        <f t="shared" ca="1" si="0"/>
        <v xml:space="preserve">Сталь листовая углеродистая обыкновенного качества марки ВСт3пс5 толщиной: 4-6 мм
т
</v>
      </c>
      <c r="D36" s="44">
        <v>-8.4000000000000005E-2</v>
      </c>
      <c r="E36" s="47">
        <v>5763</v>
      </c>
      <c r="F36" s="47"/>
      <c r="G36" s="47">
        <v>5763</v>
      </c>
      <c r="H36" s="48" t="s">
        <v>119</v>
      </c>
      <c r="I36" s="49">
        <v>-2548</v>
      </c>
      <c r="J36" s="47"/>
      <c r="K36" s="47"/>
      <c r="L36" s="47" t="str">
        <f>IF(-0.084*5763=0," ",TEXT(,ROUND((-0.084*5763*5.264),2)))</f>
        <v>-2548.26</v>
      </c>
      <c r="M36" s="47"/>
      <c r="N36" s="47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1"/>
      <c r="AB36" s="51"/>
      <c r="AC36" s="51"/>
      <c r="AD36" s="51"/>
      <c r="AE36" s="51"/>
      <c r="AF36" s="52" t="s">
        <v>120</v>
      </c>
      <c r="AG36" s="51" t="s">
        <v>121</v>
      </c>
      <c r="AH36" s="51"/>
      <c r="AI36" s="51">
        <f>0+0</f>
        <v>0</v>
      </c>
    </row>
    <row r="37" spans="1:35" ht="89.25" x14ac:dyDescent="0.2">
      <c r="A37" s="44">
        <v>17</v>
      </c>
      <c r="B37" s="45" t="s">
        <v>122</v>
      </c>
      <c r="C37" s="46" t="str">
        <f t="shared" ca="1" si="0"/>
        <v xml:space="preserve">Заземлитель горизонтальный из стали: круглой диаметром 12 мм
100 м
6515 руб. НР 85%=100%*0,85 от ФОТ (7665 руб.)
3986 руб.СП 52%=65%*0,8 от ФОТ (7665 руб.)
</v>
      </c>
      <c r="D37" s="44">
        <v>2.58</v>
      </c>
      <c r="E37" s="47" t="s">
        <v>123</v>
      </c>
      <c r="F37" s="47" t="s">
        <v>124</v>
      </c>
      <c r="G37" s="47">
        <v>25.57</v>
      </c>
      <c r="H37" s="48" t="s">
        <v>125</v>
      </c>
      <c r="I37" s="49">
        <v>9075</v>
      </c>
      <c r="J37" s="47">
        <v>7583</v>
      </c>
      <c r="K37" s="47" t="s">
        <v>126</v>
      </c>
      <c r="L37" s="47" t="str">
        <f>IF(2.58*25.57=0," ",TEXT(,ROUND((2.58*25.57*3.65),2)))</f>
        <v>240.79</v>
      </c>
      <c r="M37" s="47" t="s">
        <v>127</v>
      </c>
      <c r="N37" s="47" t="s">
        <v>128</v>
      </c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1" t="s">
        <v>36</v>
      </c>
      <c r="AB37" s="51" t="s">
        <v>37</v>
      </c>
      <c r="AC37" s="51">
        <v>6515</v>
      </c>
      <c r="AD37" s="51">
        <v>3986</v>
      </c>
      <c r="AE37" s="51"/>
      <c r="AF37" s="52" t="s">
        <v>129</v>
      </c>
      <c r="AG37" s="51" t="s">
        <v>91</v>
      </c>
      <c r="AH37" s="51"/>
      <c r="AI37" s="51">
        <f>7583+82</f>
        <v>7665</v>
      </c>
    </row>
    <row r="38" spans="1:35" ht="165.75" x14ac:dyDescent="0.2">
      <c r="A38" s="53">
        <v>18</v>
      </c>
      <c r="B38" s="54" t="s">
        <v>130</v>
      </c>
      <c r="C38" s="55" t="str">
        <f t="shared" ca="1" si="0"/>
        <v xml:space="preserve">Замена существующей антенны с демонтажом ранее установленной антенны и разъема кабеля снижения, подъем и установка мачты и новой антенны, прокладка и разделка кабеля снижения от антенны до головной усилительной станции, полный цикл измерений по каждому каналу качества изображения на антенну, для: 1-5 каналов
1 антенна
19937 руб. НР 82%=97%*0,85 от ФОТ (24313 руб.)
12643 руб.СП 52%=65%*0,8 от ФОТ (24313 руб.)
</v>
      </c>
      <c r="D38" s="53">
        <v>6</v>
      </c>
      <c r="E38" s="56" t="s">
        <v>131</v>
      </c>
      <c r="F38" s="56"/>
      <c r="G38" s="56">
        <v>4.93</v>
      </c>
      <c r="H38" s="57" t="s">
        <v>132</v>
      </c>
      <c r="I38" s="58">
        <v>24480</v>
      </c>
      <c r="J38" s="56">
        <v>24313</v>
      </c>
      <c r="K38" s="56"/>
      <c r="L38" s="56" t="str">
        <f>IF(6*4.93=0," ",TEXT(,ROUND((6*4.93*5.58),2)))</f>
        <v>165.06</v>
      </c>
      <c r="M38" s="56">
        <v>23.8</v>
      </c>
      <c r="N38" s="56">
        <v>142.80000000000001</v>
      </c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1" t="s">
        <v>52</v>
      </c>
      <c r="AB38" s="51" t="s">
        <v>37</v>
      </c>
      <c r="AC38" s="51">
        <v>19937</v>
      </c>
      <c r="AD38" s="51">
        <v>12643</v>
      </c>
      <c r="AE38" s="51"/>
      <c r="AF38" s="52" t="s">
        <v>133</v>
      </c>
      <c r="AG38" s="51" t="s">
        <v>134</v>
      </c>
      <c r="AH38" s="51"/>
      <c r="AI38" s="51">
        <f>24313+0</f>
        <v>24313</v>
      </c>
    </row>
    <row r="39" spans="1:35" ht="25.5" x14ac:dyDescent="0.2">
      <c r="A39" s="69" t="s">
        <v>135</v>
      </c>
      <c r="B39" s="68"/>
      <c r="C39" s="68"/>
      <c r="D39" s="68"/>
      <c r="E39" s="68"/>
      <c r="F39" s="68"/>
      <c r="G39" s="68"/>
      <c r="H39" s="68"/>
      <c r="I39" s="49">
        <v>10389</v>
      </c>
      <c r="J39" s="47">
        <v>5741</v>
      </c>
      <c r="K39" s="47" t="s">
        <v>136</v>
      </c>
      <c r="L39" s="47">
        <v>2888</v>
      </c>
      <c r="M39" s="47"/>
      <c r="N39" s="47" t="s">
        <v>137</v>
      </c>
      <c r="O39" s="18"/>
      <c r="P39" s="19"/>
      <c r="Q39" s="18"/>
      <c r="R39" s="18"/>
      <c r="S39" s="18"/>
      <c r="T39" s="18"/>
      <c r="U39" s="18"/>
      <c r="V39" s="18"/>
      <c r="W39" s="18"/>
      <c r="X39" s="18"/>
      <c r="Y39" s="18"/>
      <c r="Z39" s="18"/>
      <c r="AF39" s="4"/>
    </row>
    <row r="40" spans="1:35" ht="25.5" x14ac:dyDescent="0.2">
      <c r="A40" s="69" t="s">
        <v>138</v>
      </c>
      <c r="B40" s="68"/>
      <c r="C40" s="68"/>
      <c r="D40" s="68"/>
      <c r="E40" s="68"/>
      <c r="F40" s="68"/>
      <c r="G40" s="68"/>
      <c r="H40" s="68"/>
      <c r="I40" s="49">
        <v>122546</v>
      </c>
      <c r="J40" s="47">
        <v>94439</v>
      </c>
      <c r="K40" s="47" t="s">
        <v>139</v>
      </c>
      <c r="L40" s="47">
        <v>14477</v>
      </c>
      <c r="M40" s="47"/>
      <c r="N40" s="47" t="s">
        <v>137</v>
      </c>
      <c r="O40" s="18"/>
      <c r="P40" s="19"/>
      <c r="Q40" s="18"/>
      <c r="R40" s="18"/>
      <c r="S40" s="18"/>
      <c r="T40" s="18"/>
      <c r="U40" s="18"/>
      <c r="V40" s="18"/>
      <c r="W40" s="18"/>
      <c r="X40" s="18"/>
      <c r="Y40" s="18"/>
      <c r="Z40" s="18"/>
      <c r="AF40" s="4"/>
    </row>
    <row r="41" spans="1:35" x14ac:dyDescent="0.2">
      <c r="A41" s="69" t="s">
        <v>140</v>
      </c>
      <c r="B41" s="68"/>
      <c r="C41" s="68"/>
      <c r="D41" s="68"/>
      <c r="E41" s="68"/>
      <c r="F41" s="68"/>
      <c r="G41" s="68"/>
      <c r="H41" s="68"/>
      <c r="I41" s="49">
        <v>80466</v>
      </c>
      <c r="J41" s="47"/>
      <c r="K41" s="47"/>
      <c r="L41" s="47"/>
      <c r="M41" s="47"/>
      <c r="N41" s="47"/>
      <c r="O41" s="18"/>
      <c r="P41" s="19"/>
      <c r="Q41" s="18"/>
      <c r="R41" s="18"/>
      <c r="S41" s="18"/>
      <c r="T41" s="5"/>
      <c r="U41" s="5"/>
      <c r="V41" s="5"/>
      <c r="W41" s="5"/>
      <c r="X41" s="5"/>
      <c r="Y41" s="5"/>
      <c r="Z41" s="5"/>
    </row>
    <row r="42" spans="1:35" x14ac:dyDescent="0.2">
      <c r="A42" s="69" t="s">
        <v>141</v>
      </c>
      <c r="B42" s="68"/>
      <c r="C42" s="68"/>
      <c r="D42" s="68"/>
      <c r="E42" s="68"/>
      <c r="F42" s="68"/>
      <c r="G42" s="68"/>
      <c r="H42" s="68"/>
      <c r="I42" s="49">
        <v>49690</v>
      </c>
      <c r="J42" s="47"/>
      <c r="K42" s="47"/>
      <c r="L42" s="47"/>
      <c r="M42" s="47"/>
      <c r="N42" s="47"/>
      <c r="O42" s="18"/>
      <c r="P42" s="19"/>
      <c r="Q42" s="18"/>
      <c r="R42" s="18"/>
      <c r="S42" s="18"/>
    </row>
    <row r="43" spans="1:35" ht="25.5" x14ac:dyDescent="0.2">
      <c r="A43" s="70" t="s">
        <v>142</v>
      </c>
      <c r="B43" s="71"/>
      <c r="C43" s="71"/>
      <c r="D43" s="71"/>
      <c r="E43" s="71"/>
      <c r="F43" s="71"/>
      <c r="G43" s="71"/>
      <c r="H43" s="71"/>
      <c r="I43" s="58">
        <v>252702</v>
      </c>
      <c r="J43" s="56"/>
      <c r="K43" s="56"/>
      <c r="L43" s="56"/>
      <c r="M43" s="56"/>
      <c r="N43" s="56" t="s">
        <v>137</v>
      </c>
      <c r="O43" s="18"/>
      <c r="P43" s="19"/>
      <c r="Q43" s="18"/>
      <c r="R43" s="18"/>
      <c r="S43" s="18"/>
    </row>
    <row r="44" spans="1:35" ht="21" customHeight="1" x14ac:dyDescent="0.2">
      <c r="A44" s="72" t="s">
        <v>143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</row>
    <row r="45" spans="1:35" ht="84" customHeight="1" x14ac:dyDescent="0.2">
      <c r="A45" s="44">
        <v>19</v>
      </c>
      <c r="B45" s="45" t="s">
        <v>144</v>
      </c>
      <c r="C45" s="46" t="str">
        <f t="shared" ref="C45:C51" ca="1" si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Разборка покрытий и оснований: асфальтобетонных с помощью молотков отбойных
100 м3 конструкций
8231 руб. НР 93%=109%*0,85 от ФОТ (8850 руб.)
4248 руб.СП 48%=60%*0,8 от ФОТ (8850 руб.)
</v>
      </c>
      <c r="D45" s="44">
        <v>0.22</v>
      </c>
      <c r="E45" s="47" t="s">
        <v>145</v>
      </c>
      <c r="F45" s="47" t="s">
        <v>146</v>
      </c>
      <c r="G45" s="47"/>
      <c r="H45" s="48" t="s">
        <v>147</v>
      </c>
      <c r="I45" s="49">
        <v>15073</v>
      </c>
      <c r="J45" s="47">
        <v>7320</v>
      </c>
      <c r="K45" s="47" t="s">
        <v>148</v>
      </c>
      <c r="L45" s="47" t="str">
        <f>IF(0.22*0=0," ",TEXT(,ROUND((0.22*0*1),2)))</f>
        <v xml:space="preserve"> </v>
      </c>
      <c r="M45" s="47" t="s">
        <v>149</v>
      </c>
      <c r="N45" s="47" t="s">
        <v>150</v>
      </c>
      <c r="O45" s="50"/>
      <c r="P45" s="50"/>
      <c r="Q45" s="50"/>
      <c r="R45" s="50"/>
      <c r="S45" s="50"/>
      <c r="T45" s="51"/>
      <c r="U45" s="51"/>
      <c r="V45" s="51"/>
      <c r="W45" s="51"/>
      <c r="X45" s="51"/>
      <c r="Y45" s="51"/>
      <c r="Z45" s="51"/>
      <c r="AA45" s="51" t="s">
        <v>151</v>
      </c>
      <c r="AB45" s="51" t="s">
        <v>58</v>
      </c>
      <c r="AC45" s="51">
        <v>8231</v>
      </c>
      <c r="AD45" s="51">
        <v>4248</v>
      </c>
      <c r="AE45" s="51"/>
      <c r="AF45" s="51" t="s">
        <v>152</v>
      </c>
      <c r="AG45" s="51" t="s">
        <v>153</v>
      </c>
      <c r="AH45" s="51"/>
      <c r="AI45" s="51">
        <f>7320+1530</f>
        <v>8850</v>
      </c>
    </row>
    <row r="46" spans="1:35" ht="102.75" customHeight="1" x14ac:dyDescent="0.2">
      <c r="A46" s="44">
        <v>20</v>
      </c>
      <c r="B46" s="45" t="s">
        <v>154</v>
      </c>
      <c r="C46" s="46" t="str">
        <f t="shared" ca="1" si="1"/>
        <v xml:space="preserve">Разработка грунта вручную в траншеях глубиной до 2 м без креплений с откосами, группа грунтов: 2
100 м3 грунта
7149 руб. НР 64%=84%*(0,85*0,9) от ФОТ (11170 руб.)
3463 руб.СП 31%=45%*(0,8*0,85) от ФОТ (11170 руб.)
</v>
      </c>
      <c r="D46" s="44">
        <v>0.56499999999999995</v>
      </c>
      <c r="E46" s="47" t="s">
        <v>155</v>
      </c>
      <c r="F46" s="47"/>
      <c r="G46" s="47"/>
      <c r="H46" s="48" t="s">
        <v>156</v>
      </c>
      <c r="I46" s="49">
        <v>11170</v>
      </c>
      <c r="J46" s="47">
        <v>11170</v>
      </c>
      <c r="K46" s="47"/>
      <c r="L46" s="47" t="str">
        <f>IF(0.565*0=0," ",TEXT(,ROUND((0.565*0*1),2)))</f>
        <v xml:space="preserve"> </v>
      </c>
      <c r="M46" s="47">
        <v>154</v>
      </c>
      <c r="N46" s="47">
        <v>87.01</v>
      </c>
      <c r="O46" s="50"/>
      <c r="P46" s="50"/>
      <c r="Q46" s="50"/>
      <c r="R46" s="50"/>
      <c r="S46" s="50"/>
      <c r="T46" s="51"/>
      <c r="U46" s="51"/>
      <c r="V46" s="51"/>
      <c r="W46" s="51"/>
      <c r="X46" s="51"/>
      <c r="Y46" s="51"/>
      <c r="Z46" s="51"/>
      <c r="AA46" s="51" t="s">
        <v>157</v>
      </c>
      <c r="AB46" s="51" t="s">
        <v>158</v>
      </c>
      <c r="AC46" s="51">
        <v>7149</v>
      </c>
      <c r="AD46" s="51">
        <v>3463</v>
      </c>
      <c r="AE46" s="51"/>
      <c r="AF46" s="51" t="s">
        <v>159</v>
      </c>
      <c r="AG46" s="51" t="s">
        <v>160</v>
      </c>
      <c r="AH46" s="51"/>
      <c r="AI46" s="51">
        <f>11170+0</f>
        <v>11170</v>
      </c>
    </row>
    <row r="47" spans="1:35" ht="96.75" customHeight="1" x14ac:dyDescent="0.2">
      <c r="A47" s="44">
        <v>21</v>
      </c>
      <c r="B47" s="45" t="s">
        <v>161</v>
      </c>
      <c r="C47" s="46" t="str">
        <f t="shared" ca="1" si="1"/>
        <v xml:space="preserve">Засыпка вручную траншей, пазух котлованов и ям, группа грунтов: 2
100 м3 грунта
4337 руб. НР 64%=84%*(0,85*0,9) от ФОТ (6777 руб.)
2101 руб.СП 31%=45%*(0,8*0,85) от ФОТ (6777 руб.)
</v>
      </c>
      <c r="D47" s="44">
        <v>0.56499999999999995</v>
      </c>
      <c r="E47" s="47" t="s">
        <v>162</v>
      </c>
      <c r="F47" s="47"/>
      <c r="G47" s="47"/>
      <c r="H47" s="48" t="s">
        <v>163</v>
      </c>
      <c r="I47" s="49">
        <v>6777</v>
      </c>
      <c r="J47" s="47">
        <v>6777</v>
      </c>
      <c r="K47" s="47"/>
      <c r="L47" s="47" t="str">
        <f>IF(0.565*0=0," ",TEXT(,ROUND((0.565*0*1),2)))</f>
        <v xml:space="preserve"> </v>
      </c>
      <c r="M47" s="47">
        <v>97.2</v>
      </c>
      <c r="N47" s="47">
        <v>54.92</v>
      </c>
      <c r="O47" s="50"/>
      <c r="P47" s="50"/>
      <c r="Q47" s="50"/>
      <c r="R47" s="50"/>
      <c r="S47" s="50"/>
      <c r="T47" s="51"/>
      <c r="U47" s="51"/>
      <c r="V47" s="51"/>
      <c r="W47" s="51"/>
      <c r="X47" s="51"/>
      <c r="Y47" s="51"/>
      <c r="Z47" s="51"/>
      <c r="AA47" s="51" t="s">
        <v>157</v>
      </c>
      <c r="AB47" s="51" t="s">
        <v>158</v>
      </c>
      <c r="AC47" s="51">
        <v>4337</v>
      </c>
      <c r="AD47" s="51">
        <v>2101</v>
      </c>
      <c r="AE47" s="51"/>
      <c r="AF47" s="51" t="s">
        <v>164</v>
      </c>
      <c r="AG47" s="51" t="s">
        <v>160</v>
      </c>
      <c r="AH47" s="51"/>
      <c r="AI47" s="51">
        <f>6777+0</f>
        <v>6777</v>
      </c>
    </row>
    <row r="48" spans="1:35" ht="102.75" customHeight="1" x14ac:dyDescent="0.2">
      <c r="A48" s="44">
        <v>22</v>
      </c>
      <c r="B48" s="45" t="s">
        <v>165</v>
      </c>
      <c r="C48" s="46" t="str">
        <f t="shared" ca="1" si="1"/>
        <v xml:space="preserve">Устройство подстилающих и выравнивающих слоев оснований: из песчано-гравийной смеси, дресвы
100 м3 материала основания (в плотном теле)
2139 руб. НР 114%=149%*(0,85*0,9) от ФОТ (1876 руб.)
1219 руб.СП 65%=95%*(0,8*0,85) от ФОТ (1876 руб.)
</v>
      </c>
      <c r="D48" s="44" t="s">
        <v>166</v>
      </c>
      <c r="E48" s="47" t="s">
        <v>167</v>
      </c>
      <c r="F48" s="47" t="s">
        <v>168</v>
      </c>
      <c r="G48" s="47">
        <v>17.079999999999998</v>
      </c>
      <c r="H48" s="48" t="s">
        <v>169</v>
      </c>
      <c r="I48" s="49">
        <v>8439</v>
      </c>
      <c r="J48" s="47">
        <v>757</v>
      </c>
      <c r="K48" s="47" t="s">
        <v>170</v>
      </c>
      <c r="L48" s="47" t="str">
        <f>IF(0.3616*17.08=0," ",TEXT(,ROUND((0.3616*17.08*11.48),2)))</f>
        <v>70.9</v>
      </c>
      <c r="M48" s="47" t="s">
        <v>171</v>
      </c>
      <c r="N48" s="47" t="s">
        <v>172</v>
      </c>
      <c r="O48" s="50"/>
      <c r="P48" s="50"/>
      <c r="Q48" s="50"/>
      <c r="R48" s="50"/>
      <c r="S48" s="50"/>
      <c r="T48" s="51"/>
      <c r="U48" s="51"/>
      <c r="V48" s="51"/>
      <c r="W48" s="51"/>
      <c r="X48" s="51"/>
      <c r="Y48" s="51"/>
      <c r="Z48" s="51"/>
      <c r="AA48" s="51" t="s">
        <v>173</v>
      </c>
      <c r="AB48" s="51" t="s">
        <v>174</v>
      </c>
      <c r="AC48" s="51">
        <v>2139</v>
      </c>
      <c r="AD48" s="51">
        <v>1219</v>
      </c>
      <c r="AE48" s="51"/>
      <c r="AF48" s="51" t="s">
        <v>175</v>
      </c>
      <c r="AG48" s="51" t="s">
        <v>176</v>
      </c>
      <c r="AH48" s="51"/>
      <c r="AI48" s="51">
        <f>757+1119</f>
        <v>1876</v>
      </c>
    </row>
    <row r="49" spans="1:35" ht="41.25" customHeight="1" x14ac:dyDescent="0.2">
      <c r="A49" s="44">
        <v>23</v>
      </c>
      <c r="B49" s="45" t="s">
        <v>177</v>
      </c>
      <c r="C49" s="46" t="str">
        <f t="shared" ca="1" si="1"/>
        <v xml:space="preserve">Смесь песчано-гравийная природная
м3
</v>
      </c>
      <c r="D49" s="44" t="s">
        <v>178</v>
      </c>
      <c r="E49" s="47">
        <v>60</v>
      </c>
      <c r="F49" s="47"/>
      <c r="G49" s="47">
        <v>60</v>
      </c>
      <c r="H49" s="48" t="s">
        <v>179</v>
      </c>
      <c r="I49" s="49">
        <v>28484</v>
      </c>
      <c r="J49" s="47"/>
      <c r="K49" s="47"/>
      <c r="L49" s="47" t="str">
        <f>IF(44.1152*60=0," ",TEXT(,ROUND((44.1152*60*10.761),2)))</f>
        <v>28483.42</v>
      </c>
      <c r="M49" s="47"/>
      <c r="N49" s="47"/>
      <c r="O49" s="50"/>
      <c r="P49" s="50"/>
      <c r="Q49" s="50"/>
      <c r="R49" s="50"/>
      <c r="S49" s="50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 t="s">
        <v>180</v>
      </c>
      <c r="AG49" s="51" t="s">
        <v>181</v>
      </c>
      <c r="AH49" s="51"/>
      <c r="AI49" s="51">
        <f>0+0</f>
        <v>0</v>
      </c>
    </row>
    <row r="50" spans="1:35" ht="124.5" customHeight="1" x14ac:dyDescent="0.2">
      <c r="A50" s="44">
        <v>24</v>
      </c>
      <c r="B50" s="45" t="s">
        <v>182</v>
      </c>
      <c r="C50" s="46" t="str">
        <f t="shared" ca="1" si="1"/>
        <v xml:space="preserve">Устройство покрытия толщиной 4 см из горячих асфальтобетонных смесей плотных мелкозернистых типа АБВ, плотность каменных материалов: 2,5-2,9 т/м3
1000 м2 покрытия
2138 руб. НР 114%=149%*(0,85*0,9) от ФОТ (1875 руб.)
1219 руб.СП 65%=95%*(0,8*0,85) от ФОТ (1875 руб.)
</v>
      </c>
      <c r="D50" s="44">
        <v>0.18079999999999999</v>
      </c>
      <c r="E50" s="47" t="s">
        <v>183</v>
      </c>
      <c r="F50" s="47" t="s">
        <v>184</v>
      </c>
      <c r="G50" s="47">
        <v>43911.63</v>
      </c>
      <c r="H50" s="48" t="s">
        <v>185</v>
      </c>
      <c r="I50" s="49">
        <v>55961</v>
      </c>
      <c r="J50" s="47">
        <v>1102</v>
      </c>
      <c r="K50" s="47" t="s">
        <v>186</v>
      </c>
      <c r="L50" s="47" t="str">
        <f>IF(0.1808*43911.63=0," ",TEXT(,ROUND((0.1808*43911.63*6.37),2)))</f>
        <v>50572.85</v>
      </c>
      <c r="M50" s="47" t="s">
        <v>187</v>
      </c>
      <c r="N50" s="47" t="s">
        <v>188</v>
      </c>
      <c r="O50" s="50"/>
      <c r="P50" s="50"/>
      <c r="Q50" s="50"/>
      <c r="R50" s="50"/>
      <c r="S50" s="50"/>
      <c r="T50" s="51"/>
      <c r="U50" s="51"/>
      <c r="V50" s="51"/>
      <c r="W50" s="51"/>
      <c r="X50" s="51"/>
      <c r="Y50" s="51"/>
      <c r="Z50" s="51"/>
      <c r="AA50" s="51" t="s">
        <v>173</v>
      </c>
      <c r="AB50" s="51" t="s">
        <v>174</v>
      </c>
      <c r="AC50" s="51">
        <v>2138</v>
      </c>
      <c r="AD50" s="51">
        <v>1219</v>
      </c>
      <c r="AE50" s="51"/>
      <c r="AF50" s="51" t="s">
        <v>189</v>
      </c>
      <c r="AG50" s="51" t="s">
        <v>190</v>
      </c>
      <c r="AH50" s="51"/>
      <c r="AI50" s="51">
        <f>1102+773</f>
        <v>1875</v>
      </c>
    </row>
    <row r="51" spans="1:35" ht="120.75" customHeight="1" x14ac:dyDescent="0.2">
      <c r="A51" s="53">
        <v>25</v>
      </c>
      <c r="B51" s="54" t="s">
        <v>191</v>
      </c>
      <c r="C51" s="55" t="str">
        <f t="shared" ca="1" si="1"/>
        <v xml:space="preserve">На каждые 0,5 см изменения толщины покрытия добавлять или исключать: к расценке 27-06-020-01
1000 м2 покрытия
КОЭФ. К ПОЗИЦИИ:
Всего толщ. 10 см ПЗ=12 (ОЗП=12; ЭМ=12 к расх.; ЗПМ=12; МАТ=12 к расх.; ТЗ=12; ТЗМ=12)
38 руб. НР 114%=149%*(0,85*0,9) от ФОТ (33 руб.)
21 руб.СП 65%=95%*(0,8*0,85) от ФОТ (33 руб.)
</v>
      </c>
      <c r="D51" s="53">
        <v>0.18079999999999999</v>
      </c>
      <c r="E51" s="56" t="s">
        <v>192</v>
      </c>
      <c r="F51" s="56">
        <v>37.200000000000003</v>
      </c>
      <c r="G51" s="56">
        <v>65658.84</v>
      </c>
      <c r="H51" s="57" t="s">
        <v>185</v>
      </c>
      <c r="I51" s="58">
        <v>75721</v>
      </c>
      <c r="J51" s="56">
        <v>33</v>
      </c>
      <c r="K51" s="56">
        <v>70</v>
      </c>
      <c r="L51" s="56" t="str">
        <f>IF(0.1808*65658.84=0," ",TEXT(,ROUND((0.1808*65658.84*6.37),2)))</f>
        <v>75619.02</v>
      </c>
      <c r="M51" s="56">
        <v>1.08</v>
      </c>
      <c r="N51" s="56">
        <v>0.2</v>
      </c>
      <c r="O51" s="50"/>
      <c r="P51" s="50"/>
      <c r="Q51" s="50"/>
      <c r="R51" s="50"/>
      <c r="S51" s="50"/>
      <c r="T51" s="51"/>
      <c r="U51" s="51"/>
      <c r="V51" s="51"/>
      <c r="W51" s="51"/>
      <c r="X51" s="51"/>
      <c r="Y51" s="51"/>
      <c r="Z51" s="51"/>
      <c r="AA51" s="51" t="s">
        <v>173</v>
      </c>
      <c r="AB51" s="51" t="s">
        <v>174</v>
      </c>
      <c r="AC51" s="51">
        <v>38</v>
      </c>
      <c r="AD51" s="51">
        <v>21</v>
      </c>
      <c r="AE51" s="59" t="s">
        <v>193</v>
      </c>
      <c r="AF51" s="51" t="s">
        <v>194</v>
      </c>
      <c r="AG51" s="51" t="s">
        <v>190</v>
      </c>
      <c r="AH51" s="51"/>
      <c r="AI51" s="51">
        <f>33+0</f>
        <v>33</v>
      </c>
    </row>
    <row r="52" spans="1:35" ht="25.5" x14ac:dyDescent="0.2">
      <c r="A52" s="69" t="s">
        <v>135</v>
      </c>
      <c r="B52" s="68"/>
      <c r="C52" s="68"/>
      <c r="D52" s="68"/>
      <c r="E52" s="68"/>
      <c r="F52" s="68"/>
      <c r="G52" s="68"/>
      <c r="H52" s="68"/>
      <c r="I52" s="49">
        <v>26238</v>
      </c>
      <c r="J52" s="47">
        <v>1651</v>
      </c>
      <c r="K52" s="47" t="s">
        <v>195</v>
      </c>
      <c r="L52" s="47">
        <v>22463</v>
      </c>
      <c r="M52" s="47"/>
      <c r="N52" s="47" t="s">
        <v>196</v>
      </c>
      <c r="O52" s="18"/>
      <c r="P52" s="19"/>
      <c r="Q52" s="18"/>
      <c r="R52" s="18"/>
      <c r="S52" s="18"/>
    </row>
    <row r="53" spans="1:35" ht="25.5" x14ac:dyDescent="0.2">
      <c r="A53" s="69" t="s">
        <v>138</v>
      </c>
      <c r="B53" s="68"/>
      <c r="C53" s="68"/>
      <c r="D53" s="68"/>
      <c r="E53" s="68"/>
      <c r="F53" s="68"/>
      <c r="G53" s="68"/>
      <c r="H53" s="68"/>
      <c r="I53" s="49">
        <v>201625</v>
      </c>
      <c r="J53" s="47">
        <v>27159</v>
      </c>
      <c r="K53" s="47" t="s">
        <v>197</v>
      </c>
      <c r="L53" s="47">
        <v>154742</v>
      </c>
      <c r="M53" s="47"/>
      <c r="N53" s="47" t="s">
        <v>196</v>
      </c>
      <c r="O53" s="18"/>
      <c r="P53" s="19"/>
      <c r="Q53" s="18"/>
      <c r="R53" s="18"/>
      <c r="S53" s="18"/>
    </row>
    <row r="54" spans="1:35" x14ac:dyDescent="0.2">
      <c r="A54" s="69" t="s">
        <v>140</v>
      </c>
      <c r="B54" s="68"/>
      <c r="C54" s="68"/>
      <c r="D54" s="68"/>
      <c r="E54" s="68"/>
      <c r="F54" s="68"/>
      <c r="G54" s="68"/>
      <c r="H54" s="68"/>
      <c r="I54" s="49">
        <v>24031</v>
      </c>
      <c r="J54" s="47"/>
      <c r="K54" s="47"/>
      <c r="L54" s="47"/>
      <c r="M54" s="47"/>
      <c r="N54" s="47"/>
      <c r="O54" s="18"/>
      <c r="P54" s="19"/>
      <c r="Q54" s="18"/>
      <c r="R54" s="18"/>
      <c r="S54" s="18"/>
    </row>
    <row r="55" spans="1:35" x14ac:dyDescent="0.2">
      <c r="A55" s="69" t="s">
        <v>141</v>
      </c>
      <c r="B55" s="68"/>
      <c r="C55" s="68"/>
      <c r="D55" s="68"/>
      <c r="E55" s="68"/>
      <c r="F55" s="68"/>
      <c r="G55" s="68"/>
      <c r="H55" s="68"/>
      <c r="I55" s="49">
        <v>12272</v>
      </c>
      <c r="J55" s="47"/>
      <c r="K55" s="47"/>
      <c r="L55" s="47"/>
      <c r="M55" s="47"/>
      <c r="N55" s="47"/>
      <c r="O55" s="18"/>
      <c r="P55" s="19"/>
      <c r="Q55" s="18"/>
      <c r="R55" s="18"/>
      <c r="S55" s="18"/>
    </row>
    <row r="56" spans="1:35" ht="25.5" x14ac:dyDescent="0.2">
      <c r="A56" s="70" t="s">
        <v>198</v>
      </c>
      <c r="B56" s="71"/>
      <c r="C56" s="71"/>
      <c r="D56" s="71"/>
      <c r="E56" s="71"/>
      <c r="F56" s="71"/>
      <c r="G56" s="71"/>
      <c r="H56" s="71"/>
      <c r="I56" s="58">
        <v>237928</v>
      </c>
      <c r="J56" s="56"/>
      <c r="K56" s="56"/>
      <c r="L56" s="56"/>
      <c r="M56" s="56"/>
      <c r="N56" s="56" t="s">
        <v>196</v>
      </c>
      <c r="O56" s="18"/>
      <c r="P56" s="19"/>
      <c r="Q56" s="18"/>
      <c r="R56" s="18"/>
      <c r="S56" s="18"/>
    </row>
    <row r="57" spans="1:35" ht="21" customHeight="1" x14ac:dyDescent="0.2">
      <c r="A57" s="72" t="s">
        <v>199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</row>
    <row r="58" spans="1:35" ht="59.25" customHeight="1" x14ac:dyDescent="0.2">
      <c r="A58" s="44">
        <v>26</v>
      </c>
      <c r="B58" s="45" t="s">
        <v>200</v>
      </c>
      <c r="C58" s="46" t="str">
        <f t="shared" ref="C58:C65" ca="1" si="2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Щиты распределительные навесные ЩРН-24, размер корпуса 350x300x125 мм 1030,56/3,83=269,08
шт
</v>
      </c>
      <c r="D58" s="44">
        <v>1</v>
      </c>
      <c r="E58" s="47">
        <v>269.08</v>
      </c>
      <c r="F58" s="47"/>
      <c r="G58" s="47"/>
      <c r="H58" s="48" t="s">
        <v>201</v>
      </c>
      <c r="I58" s="49">
        <v>1030</v>
      </c>
      <c r="J58" s="47"/>
      <c r="K58" s="47"/>
      <c r="L58" s="47" t="str">
        <f>IF(1*0=0," ",TEXT(,ROUND((1*0*3.83),2)))</f>
        <v xml:space="preserve"> </v>
      </c>
      <c r="M58" s="47"/>
      <c r="N58" s="47"/>
      <c r="O58" s="50"/>
      <c r="P58" s="50"/>
      <c r="Q58" s="50"/>
      <c r="R58" s="50"/>
      <c r="S58" s="50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 t="s">
        <v>202</v>
      </c>
      <c r="AG58" s="51" t="s">
        <v>203</v>
      </c>
      <c r="AH58" s="51"/>
      <c r="AI58" s="51">
        <f t="shared" ref="AI58:AI65" si="3">0+0</f>
        <v>0</v>
      </c>
    </row>
    <row r="59" spans="1:35" ht="59.25" customHeight="1" x14ac:dyDescent="0.2">
      <c r="A59" s="44">
        <v>27</v>
      </c>
      <c r="B59" s="45" t="s">
        <v>204</v>
      </c>
      <c r="C59" s="46" t="str">
        <f t="shared" ca="1" si="2"/>
        <v xml:space="preserve">Выключатель автоматический дифференциальный АД-12 2Р 10-40А ИЭК 683,88/3,83= 178,56
шт
</v>
      </c>
      <c r="D59" s="44">
        <v>6</v>
      </c>
      <c r="E59" s="47">
        <v>178.56</v>
      </c>
      <c r="F59" s="47"/>
      <c r="G59" s="47"/>
      <c r="H59" s="48" t="s">
        <v>201</v>
      </c>
      <c r="I59" s="49">
        <v>4102</v>
      </c>
      <c r="J59" s="47"/>
      <c r="K59" s="47"/>
      <c r="L59" s="47" t="str">
        <f>IF(6*0=0," ",TEXT(,ROUND((6*0*3.83),2)))</f>
        <v xml:space="preserve"> </v>
      </c>
      <c r="M59" s="47"/>
      <c r="N59" s="47"/>
      <c r="O59" s="50"/>
      <c r="P59" s="50"/>
      <c r="Q59" s="50"/>
      <c r="R59" s="50"/>
      <c r="S59" s="50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 t="s">
        <v>205</v>
      </c>
      <c r="AG59" s="51" t="s">
        <v>203</v>
      </c>
      <c r="AH59" s="51"/>
      <c r="AI59" s="51">
        <f t="shared" si="3"/>
        <v>0</v>
      </c>
    </row>
    <row r="60" spans="1:35" ht="59.25" customHeight="1" x14ac:dyDescent="0.2">
      <c r="A60" s="44">
        <v>28</v>
      </c>
      <c r="B60" s="45" t="s">
        <v>206</v>
      </c>
      <c r="C60" s="46" t="str">
        <f t="shared" ca="1" si="2"/>
        <v xml:space="preserve">Выключатель нагрузки ВН-32 4р 20-40А 365,30/3,83= 95,38
шт
</v>
      </c>
      <c r="D60" s="44">
        <v>1</v>
      </c>
      <c r="E60" s="47">
        <v>95.38</v>
      </c>
      <c r="F60" s="47"/>
      <c r="G60" s="47"/>
      <c r="H60" s="48" t="s">
        <v>201</v>
      </c>
      <c r="I60" s="49">
        <v>364</v>
      </c>
      <c r="J60" s="47"/>
      <c r="K60" s="47"/>
      <c r="L60" s="47" t="str">
        <f>IF(1*0=0," ",TEXT(,ROUND((1*0*3.83),2)))</f>
        <v xml:space="preserve"> </v>
      </c>
      <c r="M60" s="47"/>
      <c r="N60" s="47"/>
      <c r="O60" s="50"/>
      <c r="P60" s="50"/>
      <c r="Q60" s="50"/>
      <c r="R60" s="50"/>
      <c r="S60" s="50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 t="s">
        <v>207</v>
      </c>
      <c r="AG60" s="51" t="s">
        <v>203</v>
      </c>
      <c r="AH60" s="51"/>
      <c r="AI60" s="51">
        <f t="shared" si="3"/>
        <v>0</v>
      </c>
    </row>
    <row r="61" spans="1:35" ht="59.25" customHeight="1" x14ac:dyDescent="0.2">
      <c r="A61" s="44">
        <v>29</v>
      </c>
      <c r="B61" s="45" t="s">
        <v>208</v>
      </c>
      <c r="C61" s="46" t="str">
        <f t="shared" ca="1" si="2"/>
        <v xml:space="preserve">Таймер цифровой ТЭ15 16А 230В на дин-рейку 985,95/3,83= 257,43
шт.
</v>
      </c>
      <c r="D61" s="44">
        <v>1</v>
      </c>
      <c r="E61" s="47">
        <v>257.43</v>
      </c>
      <c r="F61" s="47"/>
      <c r="G61" s="47"/>
      <c r="H61" s="48" t="s">
        <v>201</v>
      </c>
      <c r="I61" s="49">
        <v>984</v>
      </c>
      <c r="J61" s="47"/>
      <c r="K61" s="47"/>
      <c r="L61" s="47" t="str">
        <f>IF(1*0=0," ",TEXT(,ROUND((1*0*3.83),2)))</f>
        <v xml:space="preserve"> </v>
      </c>
      <c r="M61" s="47"/>
      <c r="N61" s="47"/>
      <c r="O61" s="50"/>
      <c r="P61" s="50"/>
      <c r="Q61" s="50"/>
      <c r="R61" s="50"/>
      <c r="S61" s="50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 t="s">
        <v>209</v>
      </c>
      <c r="AG61" s="51" t="s">
        <v>210</v>
      </c>
      <c r="AH61" s="51"/>
      <c r="AI61" s="51">
        <f t="shared" si="3"/>
        <v>0</v>
      </c>
    </row>
    <row r="62" spans="1:35" ht="59.25" customHeight="1" x14ac:dyDescent="0.2">
      <c r="A62" s="44">
        <v>30</v>
      </c>
      <c r="B62" s="45" t="s">
        <v>211</v>
      </c>
      <c r="C62" s="46" t="str">
        <f t="shared" ca="1" si="2"/>
        <v xml:space="preserve">Реле промежуточное Finder 553380240010 с тремя перекидными контактами, 10А 441,43/3,83=115,26
шт
</v>
      </c>
      <c r="D62" s="44">
        <v>4</v>
      </c>
      <c r="E62" s="47">
        <v>115.26</v>
      </c>
      <c r="F62" s="47"/>
      <c r="G62" s="47"/>
      <c r="H62" s="48" t="s">
        <v>201</v>
      </c>
      <c r="I62" s="49">
        <v>1766</v>
      </c>
      <c r="J62" s="47"/>
      <c r="K62" s="47"/>
      <c r="L62" s="47" t="str">
        <f>IF(4*0=0," ",TEXT(,ROUND((4*0*3.83),2)))</f>
        <v xml:space="preserve"> </v>
      </c>
      <c r="M62" s="47"/>
      <c r="N62" s="47"/>
      <c r="O62" s="50"/>
      <c r="P62" s="50"/>
      <c r="Q62" s="50"/>
      <c r="R62" s="50"/>
      <c r="S62" s="50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 t="s">
        <v>212</v>
      </c>
      <c r="AG62" s="51" t="s">
        <v>203</v>
      </c>
      <c r="AH62" s="51"/>
      <c r="AI62" s="51">
        <f t="shared" si="3"/>
        <v>0</v>
      </c>
    </row>
    <row r="63" spans="1:35" ht="59.25" customHeight="1" x14ac:dyDescent="0.2">
      <c r="A63" s="44">
        <v>31</v>
      </c>
      <c r="B63" s="45" t="s">
        <v>213</v>
      </c>
      <c r="C63" s="46" t="str">
        <f t="shared" ca="1" si="2"/>
        <v xml:space="preserve">Контактор КМИ-11810, 18А, 220В  468,56/3,83=122,34
шт
</v>
      </c>
      <c r="D63" s="44">
        <v>2</v>
      </c>
      <c r="E63" s="47">
        <v>122.34</v>
      </c>
      <c r="F63" s="47"/>
      <c r="G63" s="47"/>
      <c r="H63" s="48" t="s">
        <v>201</v>
      </c>
      <c r="I63" s="49">
        <v>938</v>
      </c>
      <c r="J63" s="47"/>
      <c r="K63" s="47"/>
      <c r="L63" s="47" t="str">
        <f>IF(2*0=0," ",TEXT(,ROUND((2*0*3.83),2)))</f>
        <v xml:space="preserve"> </v>
      </c>
      <c r="M63" s="47"/>
      <c r="N63" s="47"/>
      <c r="O63" s="50"/>
      <c r="P63" s="50"/>
      <c r="Q63" s="50"/>
      <c r="R63" s="50"/>
      <c r="S63" s="50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 t="s">
        <v>214</v>
      </c>
      <c r="AG63" s="51" t="s">
        <v>203</v>
      </c>
      <c r="AH63" s="51"/>
      <c r="AI63" s="51">
        <f t="shared" si="3"/>
        <v>0</v>
      </c>
    </row>
    <row r="64" spans="1:35" ht="59.25" customHeight="1" x14ac:dyDescent="0.2">
      <c r="A64" s="44">
        <v>32</v>
      </c>
      <c r="B64" s="45" t="s">
        <v>215</v>
      </c>
      <c r="C64" s="46" t="str">
        <f t="shared" ca="1" si="2"/>
        <v xml:space="preserve">Измеритель- регулятор температуры 2ТРМ1 4307/1,18/3,83=953
шт
</v>
      </c>
      <c r="D64" s="44">
        <v>2</v>
      </c>
      <c r="E64" s="47">
        <v>953</v>
      </c>
      <c r="F64" s="47"/>
      <c r="G64" s="47"/>
      <c r="H64" s="48" t="s">
        <v>201</v>
      </c>
      <c r="I64" s="49">
        <v>7300</v>
      </c>
      <c r="J64" s="47"/>
      <c r="K64" s="47"/>
      <c r="L64" s="47" t="str">
        <f>IF(2*0=0," ",TEXT(,ROUND((2*0*3.83),2)))</f>
        <v xml:space="preserve"> </v>
      </c>
      <c r="M64" s="47"/>
      <c r="N64" s="47"/>
      <c r="O64" s="50"/>
      <c r="P64" s="50"/>
      <c r="Q64" s="50"/>
      <c r="R64" s="50"/>
      <c r="S64" s="50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 t="s">
        <v>216</v>
      </c>
      <c r="AG64" s="51" t="s">
        <v>203</v>
      </c>
      <c r="AH64" s="51"/>
      <c r="AI64" s="51">
        <f t="shared" si="3"/>
        <v>0</v>
      </c>
    </row>
    <row r="65" spans="1:35" ht="59.25" customHeight="1" x14ac:dyDescent="0.2">
      <c r="A65" s="53">
        <v>33</v>
      </c>
      <c r="B65" s="54" t="s">
        <v>217</v>
      </c>
      <c r="C65" s="55" t="str">
        <f t="shared" ca="1" si="2"/>
        <v xml:space="preserve">Датчик температуры (термопреобразователь) с унифицированным выходным сигналом ТС5008 3926,93/3,83=1025,31
шт
</v>
      </c>
      <c r="D65" s="53">
        <v>2</v>
      </c>
      <c r="E65" s="56">
        <v>1025.31</v>
      </c>
      <c r="F65" s="56"/>
      <c r="G65" s="56"/>
      <c r="H65" s="57" t="s">
        <v>201</v>
      </c>
      <c r="I65" s="58">
        <v>7855</v>
      </c>
      <c r="J65" s="56"/>
      <c r="K65" s="56"/>
      <c r="L65" s="56" t="str">
        <f>IF(2*0=0," ",TEXT(,ROUND((2*0*3.83),2)))</f>
        <v xml:space="preserve"> </v>
      </c>
      <c r="M65" s="56"/>
      <c r="N65" s="56"/>
      <c r="O65" s="50"/>
      <c r="P65" s="50"/>
      <c r="Q65" s="50"/>
      <c r="R65" s="50"/>
      <c r="S65" s="50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 t="s">
        <v>218</v>
      </c>
      <c r="AG65" s="51" t="s">
        <v>203</v>
      </c>
      <c r="AH65" s="51"/>
      <c r="AI65" s="51">
        <f t="shared" si="3"/>
        <v>0</v>
      </c>
    </row>
    <row r="66" spans="1:35" x14ac:dyDescent="0.2">
      <c r="A66" s="69" t="s">
        <v>135</v>
      </c>
      <c r="B66" s="68"/>
      <c r="C66" s="68"/>
      <c r="D66" s="68"/>
      <c r="E66" s="68"/>
      <c r="F66" s="68"/>
      <c r="G66" s="68"/>
      <c r="H66" s="68"/>
      <c r="I66" s="49">
        <v>6355</v>
      </c>
      <c r="J66" s="47"/>
      <c r="K66" s="47"/>
      <c r="L66" s="47"/>
      <c r="M66" s="47"/>
      <c r="N66" s="47"/>
      <c r="O66" s="18"/>
      <c r="P66" s="19"/>
      <c r="Q66" s="18"/>
      <c r="R66" s="18"/>
      <c r="S66" s="18"/>
    </row>
    <row r="67" spans="1:35" x14ac:dyDescent="0.2">
      <c r="A67" s="69" t="s">
        <v>138</v>
      </c>
      <c r="B67" s="68"/>
      <c r="C67" s="68"/>
      <c r="D67" s="68"/>
      <c r="E67" s="68"/>
      <c r="F67" s="68"/>
      <c r="G67" s="68"/>
      <c r="H67" s="68"/>
      <c r="I67" s="49">
        <v>24340</v>
      </c>
      <c r="J67" s="47"/>
      <c r="K67" s="47"/>
      <c r="L67" s="47"/>
      <c r="M67" s="47"/>
      <c r="N67" s="47"/>
      <c r="O67" s="18"/>
      <c r="P67" s="19"/>
      <c r="Q67" s="18"/>
      <c r="R67" s="18"/>
      <c r="S67" s="18"/>
    </row>
    <row r="68" spans="1:35" x14ac:dyDescent="0.2">
      <c r="A68" s="70" t="s">
        <v>219</v>
      </c>
      <c r="B68" s="71"/>
      <c r="C68" s="71"/>
      <c r="D68" s="71"/>
      <c r="E68" s="71"/>
      <c r="F68" s="71"/>
      <c r="G68" s="71"/>
      <c r="H68" s="71"/>
      <c r="I68" s="58">
        <v>24340</v>
      </c>
      <c r="J68" s="56"/>
      <c r="K68" s="56"/>
      <c r="L68" s="56"/>
      <c r="M68" s="56"/>
      <c r="N68" s="56"/>
      <c r="O68" s="18"/>
      <c r="P68" s="19"/>
      <c r="Q68" s="18"/>
      <c r="R68" s="18"/>
      <c r="S68" s="18"/>
    </row>
    <row r="69" spans="1:35" ht="21" customHeight="1" x14ac:dyDescent="0.2">
      <c r="A69" s="72" t="s">
        <v>220</v>
      </c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</row>
    <row r="70" spans="1:35" ht="63.75" x14ac:dyDescent="0.2">
      <c r="A70" s="44">
        <v>34</v>
      </c>
      <c r="B70" s="45" t="s">
        <v>221</v>
      </c>
      <c r="C70" s="46" t="str">
        <f t="shared" ref="C70:C84" ca="1" si="4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DIN-рейка металлическая ТН 35/7,5 длиной 1000 мм
100 шт.
</v>
      </c>
      <c r="D70" s="44">
        <v>0.03</v>
      </c>
      <c r="E70" s="47">
        <v>985</v>
      </c>
      <c r="F70" s="47"/>
      <c r="G70" s="47">
        <v>985</v>
      </c>
      <c r="H70" s="48" t="s">
        <v>222</v>
      </c>
      <c r="I70" s="49">
        <v>344</v>
      </c>
      <c r="J70" s="47"/>
      <c r="K70" s="47"/>
      <c r="L70" s="47" t="str">
        <f>IF(0.03*985=0," ",TEXT(,ROUND((0.03*985*11.458),2)))</f>
        <v>338.58</v>
      </c>
      <c r="M70" s="47"/>
      <c r="N70" s="47"/>
      <c r="O70" s="50"/>
      <c r="P70" s="50"/>
      <c r="Q70" s="50"/>
      <c r="R70" s="50"/>
      <c r="S70" s="50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 t="s">
        <v>223</v>
      </c>
      <c r="AG70" s="51" t="s">
        <v>224</v>
      </c>
      <c r="AH70" s="51"/>
      <c r="AI70" s="51">
        <f t="shared" ref="AI70:AI84" si="5">0+0</f>
        <v>0</v>
      </c>
    </row>
    <row r="71" spans="1:35" ht="127.5" customHeight="1" x14ac:dyDescent="0.2">
      <c r="A71" s="44">
        <v>35</v>
      </c>
      <c r="B71" s="45" t="s">
        <v>225</v>
      </c>
      <c r="C71" s="46" t="str">
        <f t="shared" ca="1" si="4"/>
        <v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марки: ВВГнг-LS, с числом жил - 5 и сечением 16 мм2
1000 м
</v>
      </c>
      <c r="D71" s="44">
        <v>0.04</v>
      </c>
      <c r="E71" s="47">
        <v>69309.47</v>
      </c>
      <c r="F71" s="47"/>
      <c r="G71" s="47">
        <v>69309.47</v>
      </c>
      <c r="H71" s="48" t="s">
        <v>226</v>
      </c>
      <c r="I71" s="49">
        <v>19956</v>
      </c>
      <c r="J71" s="47"/>
      <c r="K71" s="47"/>
      <c r="L71" s="47" t="str">
        <f>IF(0.04*69309.47=0," ",TEXT(,ROUND((0.04*69309.47*7.199),2)))</f>
        <v>19958.35</v>
      </c>
      <c r="M71" s="47"/>
      <c r="N71" s="47"/>
      <c r="O71" s="50"/>
      <c r="P71" s="50"/>
      <c r="Q71" s="50"/>
      <c r="R71" s="50"/>
      <c r="S71" s="50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 t="s">
        <v>227</v>
      </c>
      <c r="AG71" s="51" t="s">
        <v>228</v>
      </c>
      <c r="AH71" s="51"/>
      <c r="AI71" s="51">
        <f t="shared" si="5"/>
        <v>0</v>
      </c>
    </row>
    <row r="72" spans="1:35" ht="63.75" x14ac:dyDescent="0.2">
      <c r="A72" s="44">
        <v>36</v>
      </c>
      <c r="B72" s="45" t="s">
        <v>229</v>
      </c>
      <c r="C72" s="46" t="str">
        <f t="shared" ca="1" si="4"/>
        <v xml:space="preserve">Саморегулирующая нагревательная лента HS-FSR2-CT 31Вт/м 430/1,18/5,58= 65,31
м
</v>
      </c>
      <c r="D72" s="44">
        <v>270</v>
      </c>
      <c r="E72" s="47">
        <v>65.31</v>
      </c>
      <c r="F72" s="47"/>
      <c r="G72" s="47">
        <v>65.31</v>
      </c>
      <c r="H72" s="48" t="s">
        <v>230</v>
      </c>
      <c r="I72" s="49">
        <v>98398</v>
      </c>
      <c r="J72" s="47"/>
      <c r="K72" s="47"/>
      <c r="L72" s="47" t="str">
        <f>IF(270*65.31=0," ",TEXT(,ROUND((270*65.31*5.58),2)))</f>
        <v>98396.05</v>
      </c>
      <c r="M72" s="47"/>
      <c r="N72" s="47"/>
      <c r="O72" s="50"/>
      <c r="P72" s="50"/>
      <c r="Q72" s="50"/>
      <c r="R72" s="50"/>
      <c r="S72" s="50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 t="s">
        <v>231</v>
      </c>
      <c r="AG72" s="51" t="s">
        <v>232</v>
      </c>
      <c r="AH72" s="51"/>
      <c r="AI72" s="51">
        <f t="shared" si="5"/>
        <v>0</v>
      </c>
    </row>
    <row r="73" spans="1:35" ht="63.75" x14ac:dyDescent="0.2">
      <c r="A73" s="44">
        <v>37</v>
      </c>
      <c r="B73" s="45" t="s">
        <v>233</v>
      </c>
      <c r="C73" s="46" t="str">
        <f t="shared" ca="1" si="4"/>
        <v xml:space="preserve">Нагревательный кабель Kima Strong Hudmo 117м 17410/1,18/117/5,58=22,60
м
</v>
      </c>
      <c r="D73" s="44">
        <v>468</v>
      </c>
      <c r="E73" s="47">
        <v>22.6</v>
      </c>
      <c r="F73" s="47"/>
      <c r="G73" s="47">
        <v>22.6</v>
      </c>
      <c r="H73" s="48" t="s">
        <v>230</v>
      </c>
      <c r="I73" s="49">
        <v>59020</v>
      </c>
      <c r="J73" s="47"/>
      <c r="K73" s="47"/>
      <c r="L73" s="47" t="str">
        <f>IF(468*22.6=0," ",TEXT(,ROUND((468*22.6*5.58),2)))</f>
        <v>59018.54</v>
      </c>
      <c r="M73" s="47"/>
      <c r="N73" s="47"/>
      <c r="O73" s="50"/>
      <c r="P73" s="50"/>
      <c r="Q73" s="50"/>
      <c r="R73" s="50"/>
      <c r="S73" s="50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 t="s">
        <v>234</v>
      </c>
      <c r="AG73" s="51" t="s">
        <v>232</v>
      </c>
      <c r="AH73" s="51"/>
      <c r="AI73" s="51">
        <f t="shared" si="5"/>
        <v>0</v>
      </c>
    </row>
    <row r="74" spans="1:35" ht="127.5" customHeight="1" x14ac:dyDescent="0.2">
      <c r="A74" s="44">
        <v>38</v>
      </c>
      <c r="B74" s="45" t="s">
        <v>235</v>
      </c>
      <c r="C74" s="46" t="str">
        <f t="shared" ca="1" si="4"/>
        <v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марки: ВВГнг-LS, с числом жил - 5 и сечением 4 мм2
1000 м
</v>
      </c>
      <c r="D74" s="44">
        <v>0.21</v>
      </c>
      <c r="E74" s="47">
        <v>18047.849999999999</v>
      </c>
      <c r="F74" s="47"/>
      <c r="G74" s="47">
        <v>18047.849999999999</v>
      </c>
      <c r="H74" s="48" t="s">
        <v>236</v>
      </c>
      <c r="I74" s="49">
        <v>30297</v>
      </c>
      <c r="J74" s="47"/>
      <c r="K74" s="47"/>
      <c r="L74" s="47" t="str">
        <f>IF(0.21*18047.85=0," ",TEXT(,ROUND((0.21*18047.85*7.994),2)))</f>
        <v>30297.65</v>
      </c>
      <c r="M74" s="47"/>
      <c r="N74" s="47"/>
      <c r="O74" s="50"/>
      <c r="P74" s="50"/>
      <c r="Q74" s="50"/>
      <c r="R74" s="50"/>
      <c r="S74" s="50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 t="s">
        <v>237</v>
      </c>
      <c r="AG74" s="51" t="s">
        <v>228</v>
      </c>
      <c r="AH74" s="51"/>
      <c r="AI74" s="51">
        <f t="shared" si="5"/>
        <v>0</v>
      </c>
    </row>
    <row r="75" spans="1:35" ht="127.5" x14ac:dyDescent="0.2">
      <c r="A75" s="44">
        <v>39</v>
      </c>
      <c r="B75" s="45" t="s">
        <v>238</v>
      </c>
      <c r="C75" s="46" t="str">
        <f t="shared" ca="1" si="4"/>
        <v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марки: ВВГнг-LS, с числом жил - 3 и сечением 2,5 мм2
1000 м
</v>
      </c>
      <c r="D75" s="44">
        <v>0.2</v>
      </c>
      <c r="E75" s="47">
        <v>6920.41</v>
      </c>
      <c r="F75" s="47"/>
      <c r="G75" s="47">
        <v>6920.41</v>
      </c>
      <c r="H75" s="48" t="s">
        <v>239</v>
      </c>
      <c r="I75" s="49">
        <v>11655</v>
      </c>
      <c r="J75" s="47"/>
      <c r="K75" s="47"/>
      <c r="L75" s="47" t="str">
        <f>IF(0.2*6920.41=0," ",TEXT(,ROUND((0.2*6920.41*8.421),2)))</f>
        <v>11655.35</v>
      </c>
      <c r="M75" s="47"/>
      <c r="N75" s="47"/>
      <c r="O75" s="50"/>
      <c r="P75" s="50"/>
      <c r="Q75" s="50"/>
      <c r="R75" s="50"/>
      <c r="S75" s="50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 t="s">
        <v>240</v>
      </c>
      <c r="AG75" s="51" t="s">
        <v>228</v>
      </c>
      <c r="AH75" s="51"/>
      <c r="AI75" s="51">
        <f t="shared" si="5"/>
        <v>0</v>
      </c>
    </row>
    <row r="76" spans="1:35" ht="127.5" x14ac:dyDescent="0.2">
      <c r="A76" s="44">
        <v>40</v>
      </c>
      <c r="B76" s="45" t="s">
        <v>241</v>
      </c>
      <c r="C76" s="46" t="str">
        <f t="shared" ca="1" si="4"/>
        <v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марки: ВВГнг-LS, с числом жил - 3 и сечением 1,5 мм2
1000 м
</v>
      </c>
      <c r="D76" s="44">
        <v>0.1</v>
      </c>
      <c r="E76" s="47">
        <v>4832.12</v>
      </c>
      <c r="F76" s="47"/>
      <c r="G76" s="47">
        <v>4832.12</v>
      </c>
      <c r="H76" s="48" t="s">
        <v>242</v>
      </c>
      <c r="I76" s="49">
        <v>4030</v>
      </c>
      <c r="J76" s="47"/>
      <c r="K76" s="47"/>
      <c r="L76" s="47" t="str">
        <f>IF(0.1*4832.12=0," ",TEXT(,ROUND((0.1*4832.12*8.343),2)))</f>
        <v>4031.44</v>
      </c>
      <c r="M76" s="47"/>
      <c r="N76" s="47"/>
      <c r="O76" s="50"/>
      <c r="P76" s="50"/>
      <c r="Q76" s="50"/>
      <c r="R76" s="50"/>
      <c r="S76" s="50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 t="s">
        <v>243</v>
      </c>
      <c r="AG76" s="51" t="s">
        <v>228</v>
      </c>
      <c r="AH76" s="51"/>
      <c r="AI76" s="51">
        <f t="shared" si="5"/>
        <v>0</v>
      </c>
    </row>
    <row r="77" spans="1:35" ht="76.5" x14ac:dyDescent="0.2">
      <c r="A77" s="44">
        <v>41</v>
      </c>
      <c r="B77" s="45" t="s">
        <v>244</v>
      </c>
      <c r="C77" s="46" t="str">
        <f t="shared" ca="1" si="4"/>
        <v xml:space="preserve">Провода силовые для электрических установок на напряжение до 450 В с медной жилой марки: ПВ1, сечением 1 мм2
1000 м
</v>
      </c>
      <c r="D77" s="44">
        <v>0.03</v>
      </c>
      <c r="E77" s="47">
        <v>963.6</v>
      </c>
      <c r="F77" s="47"/>
      <c r="G77" s="47">
        <v>963.6</v>
      </c>
      <c r="H77" s="48" t="s">
        <v>245</v>
      </c>
      <c r="I77" s="49">
        <v>160</v>
      </c>
      <c r="J77" s="47"/>
      <c r="K77" s="47"/>
      <c r="L77" s="47" t="str">
        <f>IF(0.03*963.6=0," ",TEXT(,ROUND((0.03*963.6*5.51),2)))</f>
        <v>159.28</v>
      </c>
      <c r="M77" s="47"/>
      <c r="N77" s="47"/>
      <c r="O77" s="50"/>
      <c r="P77" s="50"/>
      <c r="Q77" s="50"/>
      <c r="R77" s="50"/>
      <c r="S77" s="50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 t="s">
        <v>246</v>
      </c>
      <c r="AG77" s="51" t="s">
        <v>228</v>
      </c>
      <c r="AH77" s="51"/>
      <c r="AI77" s="51">
        <f t="shared" si="5"/>
        <v>0</v>
      </c>
    </row>
    <row r="78" spans="1:35" ht="76.5" x14ac:dyDescent="0.2">
      <c r="A78" s="44">
        <v>42</v>
      </c>
      <c r="B78" s="45" t="s">
        <v>247</v>
      </c>
      <c r="C78" s="46" t="str">
        <f t="shared" ca="1" si="4"/>
        <v xml:space="preserve">Провода силовые для электрических установок на напряжение до 450 В с медной жилой марки: ПВ1, сечением 6 мм2
1000 м
</v>
      </c>
      <c r="D78" s="44">
        <v>1.2E-2</v>
      </c>
      <c r="E78" s="47">
        <v>4645.43</v>
      </c>
      <c r="F78" s="47"/>
      <c r="G78" s="47">
        <v>4645.43</v>
      </c>
      <c r="H78" s="48" t="s">
        <v>248</v>
      </c>
      <c r="I78" s="49">
        <v>348</v>
      </c>
      <c r="J78" s="47"/>
      <c r="K78" s="47"/>
      <c r="L78" s="47" t="str">
        <f>IF(0.012*4645.43=0," ",TEXT(,ROUND((0.012*4645.43*6.217),2)))</f>
        <v>346.57</v>
      </c>
      <c r="M78" s="47"/>
      <c r="N78" s="47"/>
      <c r="O78" s="50"/>
      <c r="P78" s="50"/>
      <c r="Q78" s="50"/>
      <c r="R78" s="50"/>
      <c r="S78" s="50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 t="s">
        <v>249</v>
      </c>
      <c r="AG78" s="51" t="s">
        <v>228</v>
      </c>
      <c r="AH78" s="51"/>
      <c r="AI78" s="51">
        <f t="shared" si="5"/>
        <v>0</v>
      </c>
    </row>
    <row r="79" spans="1:35" ht="51" x14ac:dyDescent="0.2">
      <c r="A79" s="44">
        <v>43</v>
      </c>
      <c r="B79" s="45" t="s">
        <v>250</v>
      </c>
      <c r="C79" s="46" t="str">
        <f t="shared" ca="1" si="4"/>
        <v xml:space="preserve">Концевая заделка KMT/R 260/1,18/5,58=39,49
шт
</v>
      </c>
      <c r="D79" s="44">
        <v>10</v>
      </c>
      <c r="E79" s="47">
        <v>39.49</v>
      </c>
      <c r="F79" s="47"/>
      <c r="G79" s="47">
        <v>39.49</v>
      </c>
      <c r="H79" s="48" t="s">
        <v>230</v>
      </c>
      <c r="I79" s="49">
        <v>2204</v>
      </c>
      <c r="J79" s="47"/>
      <c r="K79" s="47"/>
      <c r="L79" s="47" t="str">
        <f>IF(10*39.49=0," ",TEXT(,ROUND((10*39.49*5.58),2)))</f>
        <v>2203.54</v>
      </c>
      <c r="M79" s="47"/>
      <c r="N79" s="47"/>
      <c r="O79" s="50"/>
      <c r="P79" s="50"/>
      <c r="Q79" s="50"/>
      <c r="R79" s="50"/>
      <c r="S79" s="50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 t="s">
        <v>251</v>
      </c>
      <c r="AG79" s="51" t="s">
        <v>203</v>
      </c>
      <c r="AH79" s="51"/>
      <c r="AI79" s="51">
        <f t="shared" si="5"/>
        <v>0</v>
      </c>
    </row>
    <row r="80" spans="1:35" ht="63.75" x14ac:dyDescent="0.2">
      <c r="A80" s="44">
        <v>44</v>
      </c>
      <c r="B80" s="45" t="s">
        <v>252</v>
      </c>
      <c r="C80" s="46" t="str">
        <f t="shared" ca="1" si="4"/>
        <v xml:space="preserve">Коробка соединительная Abox 100/S 428,80/1,18/5,58=65,12
шт
</v>
      </c>
      <c r="D80" s="44">
        <v>10</v>
      </c>
      <c r="E80" s="47">
        <v>65.12</v>
      </c>
      <c r="F80" s="47"/>
      <c r="G80" s="47">
        <v>65.12</v>
      </c>
      <c r="H80" s="48" t="s">
        <v>230</v>
      </c>
      <c r="I80" s="49">
        <v>3633</v>
      </c>
      <c r="J80" s="47"/>
      <c r="K80" s="47"/>
      <c r="L80" s="47" t="str">
        <f>IF(10*65.12=0," ",TEXT(,ROUND((10*65.12*5.58),2)))</f>
        <v>3633.7</v>
      </c>
      <c r="M80" s="47"/>
      <c r="N80" s="47"/>
      <c r="O80" s="50"/>
      <c r="P80" s="50"/>
      <c r="Q80" s="50"/>
      <c r="R80" s="50"/>
      <c r="S80" s="50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 t="s">
        <v>253</v>
      </c>
      <c r="AG80" s="51" t="s">
        <v>203</v>
      </c>
      <c r="AH80" s="51"/>
      <c r="AI80" s="51">
        <f t="shared" si="5"/>
        <v>0</v>
      </c>
    </row>
    <row r="81" spans="1:35" ht="89.25" x14ac:dyDescent="0.2">
      <c r="A81" s="44">
        <v>45</v>
      </c>
      <c r="B81" s="45" t="s">
        <v>254</v>
      </c>
      <c r="C81" s="46" t="str">
        <f t="shared" ca="1" si="4"/>
        <v xml:space="preserve">Трубы стальные бесшовные, горячедеформированные со снятой фаской из стали марок 15, 20, 25, наружным диаметром: 32 мм, толщина стенки 2,5 мм
м
</v>
      </c>
      <c r="D81" s="44">
        <v>350</v>
      </c>
      <c r="E81" s="47">
        <v>18.829999999999998</v>
      </c>
      <c r="F81" s="47"/>
      <c r="G81" s="47">
        <v>18.829999999999998</v>
      </c>
      <c r="H81" s="48" t="s">
        <v>255</v>
      </c>
      <c r="I81" s="49">
        <v>37701</v>
      </c>
      <c r="J81" s="47"/>
      <c r="K81" s="47"/>
      <c r="L81" s="47" t="str">
        <f>IF(350*18.83=0," ",TEXT(,ROUND((350*18.83*5.72),2)))</f>
        <v>37697.66</v>
      </c>
      <c r="M81" s="47"/>
      <c r="N81" s="47"/>
      <c r="O81" s="50"/>
      <c r="P81" s="50"/>
      <c r="Q81" s="50"/>
      <c r="R81" s="50"/>
      <c r="S81" s="50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 t="s">
        <v>256</v>
      </c>
      <c r="AG81" s="51" t="s">
        <v>232</v>
      </c>
      <c r="AH81" s="51"/>
      <c r="AI81" s="51">
        <f t="shared" si="5"/>
        <v>0</v>
      </c>
    </row>
    <row r="82" spans="1:35" ht="76.5" x14ac:dyDescent="0.2">
      <c r="A82" s="44">
        <v>46</v>
      </c>
      <c r="B82" s="45" t="s">
        <v>257</v>
      </c>
      <c r="C82" s="46" t="str">
        <f t="shared" ca="1" si="4"/>
        <v xml:space="preserve">Трубы гибкие гофрированные из самозатухающего ПВХ-пластиката легкого типа диаметром 32 мм
м
</v>
      </c>
      <c r="D82" s="44">
        <v>40</v>
      </c>
      <c r="E82" s="47">
        <v>3.46</v>
      </c>
      <c r="F82" s="47"/>
      <c r="G82" s="47">
        <v>3.46</v>
      </c>
      <c r="H82" s="48" t="s">
        <v>258</v>
      </c>
      <c r="I82" s="49">
        <v>421</v>
      </c>
      <c r="J82" s="47"/>
      <c r="K82" s="47"/>
      <c r="L82" s="47" t="str">
        <f>IF(40*3.46=0," ",TEXT(,ROUND((40*3.46*3.051),2)))</f>
        <v>422.26</v>
      </c>
      <c r="M82" s="47"/>
      <c r="N82" s="47"/>
      <c r="O82" s="50"/>
      <c r="P82" s="50"/>
      <c r="Q82" s="50"/>
      <c r="R82" s="50"/>
      <c r="S82" s="50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 t="s">
        <v>259</v>
      </c>
      <c r="AG82" s="51" t="s">
        <v>232</v>
      </c>
      <c r="AH82" s="51"/>
      <c r="AI82" s="51">
        <f t="shared" si="5"/>
        <v>0</v>
      </c>
    </row>
    <row r="83" spans="1:35" ht="63.75" x14ac:dyDescent="0.2">
      <c r="A83" s="44">
        <v>47</v>
      </c>
      <c r="B83" s="45" t="s">
        <v>260</v>
      </c>
      <c r="C83" s="46" t="str">
        <f t="shared" ca="1" si="4"/>
        <v xml:space="preserve">Сталь круглая углеродистая обыкновенного качества марки ВСт3пс5-1 диаметром: 8 мм
т
</v>
      </c>
      <c r="D83" s="44">
        <v>8.3000000000000004E-2</v>
      </c>
      <c r="E83" s="47">
        <v>5230.01</v>
      </c>
      <c r="F83" s="47"/>
      <c r="G83" s="47">
        <v>5230.01</v>
      </c>
      <c r="H83" s="48" t="s">
        <v>261</v>
      </c>
      <c r="I83" s="49">
        <v>2405</v>
      </c>
      <c r="J83" s="47"/>
      <c r="K83" s="47"/>
      <c r="L83" s="47" t="str">
        <f>IF(0.083*5230.01=0," ",TEXT(,ROUND((0.083*5230.01*5.541),2)))</f>
        <v>2405.3</v>
      </c>
      <c r="M83" s="47"/>
      <c r="N83" s="47"/>
      <c r="O83" s="50"/>
      <c r="P83" s="50"/>
      <c r="Q83" s="50"/>
      <c r="R83" s="50"/>
      <c r="S83" s="50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 t="s">
        <v>262</v>
      </c>
      <c r="AG83" s="51" t="s">
        <v>121</v>
      </c>
      <c r="AH83" s="51"/>
      <c r="AI83" s="51">
        <f t="shared" si="5"/>
        <v>0</v>
      </c>
    </row>
    <row r="84" spans="1:35" ht="63.75" x14ac:dyDescent="0.2">
      <c r="A84" s="53">
        <v>48</v>
      </c>
      <c r="B84" s="54" t="s">
        <v>263</v>
      </c>
      <c r="C84" s="55" t="str">
        <f t="shared" ca="1" si="4"/>
        <v xml:space="preserve">Сталь круглая углеродистая обыкновенного качества марки ВСт3пс5-1 диаметром: 18 мм
т
</v>
      </c>
      <c r="D84" s="53" t="s">
        <v>264</v>
      </c>
      <c r="E84" s="56">
        <v>5230.01</v>
      </c>
      <c r="F84" s="56"/>
      <c r="G84" s="56">
        <v>5230.01</v>
      </c>
      <c r="H84" s="57" t="s">
        <v>265</v>
      </c>
      <c r="I84" s="58">
        <v>12122</v>
      </c>
      <c r="J84" s="56"/>
      <c r="K84" s="56"/>
      <c r="L84" s="56" t="str">
        <f>IF(0.4234*5230.01=0," ",TEXT(,ROUND((0.4234*5230.01*5.475),2)))</f>
        <v>12123.76</v>
      </c>
      <c r="M84" s="56"/>
      <c r="N84" s="56"/>
      <c r="O84" s="50"/>
      <c r="P84" s="50"/>
      <c r="Q84" s="50"/>
      <c r="R84" s="50"/>
      <c r="S84" s="50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 t="s">
        <v>266</v>
      </c>
      <c r="AG84" s="51" t="s">
        <v>121</v>
      </c>
      <c r="AH84" s="51"/>
      <c r="AI84" s="51">
        <f t="shared" si="5"/>
        <v>0</v>
      </c>
    </row>
    <row r="85" spans="1:35" x14ac:dyDescent="0.2">
      <c r="A85" s="69" t="s">
        <v>135</v>
      </c>
      <c r="B85" s="68"/>
      <c r="C85" s="68"/>
      <c r="D85" s="68"/>
      <c r="E85" s="68"/>
      <c r="F85" s="68"/>
      <c r="G85" s="68"/>
      <c r="H85" s="68"/>
      <c r="I85" s="49">
        <v>47178</v>
      </c>
      <c r="J85" s="47"/>
      <c r="K85" s="47"/>
      <c r="L85" s="47">
        <v>47178</v>
      </c>
      <c r="M85" s="47"/>
      <c r="N85" s="47"/>
      <c r="O85" s="18"/>
      <c r="P85" s="19"/>
      <c r="Q85" s="18"/>
      <c r="R85" s="18"/>
      <c r="S85" s="18"/>
    </row>
    <row r="86" spans="1:35" x14ac:dyDescent="0.2">
      <c r="A86" s="69" t="s">
        <v>138</v>
      </c>
      <c r="B86" s="68"/>
      <c r="C86" s="68"/>
      <c r="D86" s="68"/>
      <c r="E86" s="68"/>
      <c r="F86" s="68"/>
      <c r="G86" s="68"/>
      <c r="H86" s="68"/>
      <c r="I86" s="49">
        <v>282693</v>
      </c>
      <c r="J86" s="47"/>
      <c r="K86" s="47"/>
      <c r="L86" s="47">
        <v>282693</v>
      </c>
      <c r="M86" s="47"/>
      <c r="N86" s="47"/>
      <c r="O86" s="18"/>
      <c r="P86" s="19"/>
      <c r="Q86" s="18"/>
      <c r="R86" s="18"/>
      <c r="S86" s="18"/>
    </row>
    <row r="87" spans="1:35" x14ac:dyDescent="0.2">
      <c r="A87" s="70" t="s">
        <v>267</v>
      </c>
      <c r="B87" s="71"/>
      <c r="C87" s="71"/>
      <c r="D87" s="71"/>
      <c r="E87" s="71"/>
      <c r="F87" s="71"/>
      <c r="G87" s="71"/>
      <c r="H87" s="71"/>
      <c r="I87" s="58">
        <v>282693</v>
      </c>
      <c r="J87" s="56"/>
      <c r="K87" s="56"/>
      <c r="L87" s="56"/>
      <c r="M87" s="56"/>
      <c r="N87" s="56"/>
      <c r="O87" s="18"/>
      <c r="P87" s="19"/>
      <c r="Q87" s="18"/>
      <c r="R87" s="18"/>
      <c r="S87" s="18"/>
    </row>
    <row r="88" spans="1:35" ht="25.5" x14ac:dyDescent="0.2">
      <c r="A88" s="67" t="s">
        <v>268</v>
      </c>
      <c r="B88" s="68"/>
      <c r="C88" s="68"/>
      <c r="D88" s="68"/>
      <c r="E88" s="68"/>
      <c r="F88" s="68"/>
      <c r="G88" s="68"/>
      <c r="H88" s="68"/>
      <c r="I88" s="60">
        <v>90160</v>
      </c>
      <c r="J88" s="60">
        <v>7392</v>
      </c>
      <c r="K88" s="60" t="s">
        <v>269</v>
      </c>
      <c r="L88" s="60">
        <v>72529</v>
      </c>
      <c r="M88" s="60"/>
      <c r="N88" s="60" t="s">
        <v>270</v>
      </c>
      <c r="O88" s="18"/>
      <c r="P88" s="19"/>
      <c r="Q88" s="18"/>
      <c r="R88" s="18"/>
      <c r="S88" s="18"/>
    </row>
    <row r="89" spans="1:35" ht="25.5" x14ac:dyDescent="0.2">
      <c r="A89" s="67" t="s">
        <v>271</v>
      </c>
      <c r="B89" s="68"/>
      <c r="C89" s="68"/>
      <c r="D89" s="68"/>
      <c r="E89" s="68"/>
      <c r="F89" s="68"/>
      <c r="G89" s="68"/>
      <c r="H89" s="68"/>
      <c r="I89" s="60">
        <v>631204</v>
      </c>
      <c r="J89" s="60">
        <v>121598</v>
      </c>
      <c r="K89" s="60" t="s">
        <v>272</v>
      </c>
      <c r="L89" s="60">
        <v>451912</v>
      </c>
      <c r="M89" s="60"/>
      <c r="N89" s="60" t="s">
        <v>270</v>
      </c>
      <c r="O89" s="18"/>
      <c r="P89" s="19"/>
      <c r="Q89" s="18"/>
      <c r="R89" s="18"/>
      <c r="S89" s="18"/>
    </row>
    <row r="90" spans="1:35" x14ac:dyDescent="0.2">
      <c r="A90" s="67" t="s">
        <v>140</v>
      </c>
      <c r="B90" s="68"/>
      <c r="C90" s="68"/>
      <c r="D90" s="68"/>
      <c r="E90" s="68"/>
      <c r="F90" s="68"/>
      <c r="G90" s="68"/>
      <c r="H90" s="68"/>
      <c r="I90" s="60">
        <v>104497</v>
      </c>
      <c r="J90" s="60"/>
      <c r="K90" s="60"/>
      <c r="L90" s="60"/>
      <c r="M90" s="60"/>
      <c r="N90" s="60"/>
      <c r="O90" s="18"/>
      <c r="P90" s="19"/>
      <c r="Q90" s="18"/>
      <c r="R90" s="18"/>
      <c r="S90" s="18"/>
    </row>
    <row r="91" spans="1:35" x14ac:dyDescent="0.2">
      <c r="A91" s="67" t="s">
        <v>141</v>
      </c>
      <c r="B91" s="68"/>
      <c r="C91" s="68"/>
      <c r="D91" s="68"/>
      <c r="E91" s="68"/>
      <c r="F91" s="68"/>
      <c r="G91" s="68"/>
      <c r="H91" s="68"/>
      <c r="I91" s="60">
        <v>61962</v>
      </c>
      <c r="J91" s="60"/>
      <c r="K91" s="60"/>
      <c r="L91" s="60"/>
      <c r="M91" s="60"/>
      <c r="N91" s="60"/>
      <c r="O91" s="18"/>
      <c r="P91" s="19"/>
      <c r="Q91" s="18"/>
      <c r="R91" s="18"/>
      <c r="S91" s="18"/>
    </row>
    <row r="92" spans="1:35" x14ac:dyDescent="0.2">
      <c r="A92" s="65" t="s">
        <v>273</v>
      </c>
      <c r="B92" s="66"/>
      <c r="C92" s="66"/>
      <c r="D92" s="66"/>
      <c r="E92" s="66"/>
      <c r="F92" s="66"/>
      <c r="G92" s="66"/>
      <c r="H92" s="66"/>
      <c r="I92" s="60"/>
      <c r="J92" s="60"/>
      <c r="K92" s="60"/>
      <c r="L92" s="60"/>
      <c r="M92" s="60"/>
      <c r="N92" s="60"/>
      <c r="O92" s="18"/>
      <c r="P92" s="19"/>
      <c r="Q92" s="18"/>
      <c r="R92" s="18"/>
      <c r="S92" s="18"/>
    </row>
    <row r="93" spans="1:35" ht="25.5" x14ac:dyDescent="0.2">
      <c r="A93" s="67" t="s">
        <v>274</v>
      </c>
      <c r="B93" s="68"/>
      <c r="C93" s="68"/>
      <c r="D93" s="68"/>
      <c r="E93" s="68"/>
      <c r="F93" s="68"/>
      <c r="G93" s="68"/>
      <c r="H93" s="68"/>
      <c r="I93" s="60">
        <v>237928</v>
      </c>
      <c r="J93" s="60"/>
      <c r="K93" s="60"/>
      <c r="L93" s="60"/>
      <c r="M93" s="60"/>
      <c r="N93" s="60" t="s">
        <v>196</v>
      </c>
      <c r="O93" s="18"/>
      <c r="P93" s="19"/>
      <c r="Q93" s="18"/>
      <c r="R93" s="18"/>
      <c r="S93" s="18"/>
    </row>
    <row r="94" spans="1:35" ht="25.5" x14ac:dyDescent="0.2">
      <c r="A94" s="67" t="s">
        <v>275</v>
      </c>
      <c r="B94" s="68"/>
      <c r="C94" s="68"/>
      <c r="D94" s="68"/>
      <c r="E94" s="68"/>
      <c r="F94" s="68"/>
      <c r="G94" s="68"/>
      <c r="H94" s="68"/>
      <c r="I94" s="60">
        <v>535395</v>
      </c>
      <c r="J94" s="60"/>
      <c r="K94" s="60"/>
      <c r="L94" s="60"/>
      <c r="M94" s="60"/>
      <c r="N94" s="60" t="s">
        <v>137</v>
      </c>
      <c r="O94" s="18"/>
      <c r="P94" s="19"/>
      <c r="Q94" s="18"/>
      <c r="R94" s="18"/>
      <c r="S94" s="18"/>
    </row>
    <row r="95" spans="1:35" x14ac:dyDescent="0.2">
      <c r="A95" s="67" t="s">
        <v>276</v>
      </c>
      <c r="B95" s="68"/>
      <c r="C95" s="68"/>
      <c r="D95" s="68"/>
      <c r="E95" s="68"/>
      <c r="F95" s="68"/>
      <c r="G95" s="68"/>
      <c r="H95" s="68"/>
      <c r="I95" s="60">
        <v>24340</v>
      </c>
      <c r="J95" s="60"/>
      <c r="K95" s="60"/>
      <c r="L95" s="60"/>
      <c r="M95" s="60"/>
      <c r="N95" s="60"/>
      <c r="O95" s="18"/>
      <c r="P95" s="19"/>
      <c r="Q95" s="18"/>
      <c r="R95" s="18"/>
      <c r="S95" s="18"/>
    </row>
    <row r="96" spans="1:35" ht="25.5" x14ac:dyDescent="0.2">
      <c r="A96" s="67" t="s">
        <v>277</v>
      </c>
      <c r="B96" s="68"/>
      <c r="C96" s="68"/>
      <c r="D96" s="68"/>
      <c r="E96" s="68"/>
      <c r="F96" s="68"/>
      <c r="G96" s="68"/>
      <c r="H96" s="68"/>
      <c r="I96" s="60">
        <v>797663</v>
      </c>
      <c r="J96" s="60"/>
      <c r="K96" s="60"/>
      <c r="L96" s="60"/>
      <c r="M96" s="60"/>
      <c r="N96" s="60" t="s">
        <v>270</v>
      </c>
      <c r="O96" s="18"/>
      <c r="P96" s="19"/>
      <c r="Q96" s="18"/>
      <c r="R96" s="18"/>
      <c r="S96" s="18"/>
    </row>
    <row r="97" spans="1:19" x14ac:dyDescent="0.2">
      <c r="A97" s="67" t="s">
        <v>278</v>
      </c>
      <c r="B97" s="68"/>
      <c r="C97" s="68"/>
      <c r="D97" s="68"/>
      <c r="E97" s="68"/>
      <c r="F97" s="68"/>
      <c r="G97" s="68"/>
      <c r="H97" s="68"/>
      <c r="I97" s="60"/>
      <c r="J97" s="60"/>
      <c r="K97" s="60"/>
      <c r="L97" s="60"/>
      <c r="M97" s="60"/>
      <c r="N97" s="60"/>
      <c r="O97" s="18"/>
      <c r="P97" s="19"/>
      <c r="Q97" s="18"/>
      <c r="R97" s="18"/>
      <c r="S97" s="18"/>
    </row>
    <row r="98" spans="1:19" x14ac:dyDescent="0.2">
      <c r="A98" s="67" t="s">
        <v>279</v>
      </c>
      <c r="B98" s="68"/>
      <c r="C98" s="68"/>
      <c r="D98" s="68"/>
      <c r="E98" s="68"/>
      <c r="F98" s="68"/>
      <c r="G98" s="68"/>
      <c r="H98" s="68"/>
      <c r="I98" s="60">
        <v>451912</v>
      </c>
      <c r="J98" s="60"/>
      <c r="K98" s="60"/>
      <c r="L98" s="60"/>
      <c r="M98" s="60"/>
      <c r="N98" s="60"/>
      <c r="O98" s="18"/>
      <c r="P98" s="19"/>
      <c r="Q98" s="18"/>
      <c r="R98" s="18"/>
      <c r="S98" s="18"/>
    </row>
    <row r="99" spans="1:19" x14ac:dyDescent="0.2">
      <c r="A99" s="67" t="s">
        <v>280</v>
      </c>
      <c r="B99" s="68"/>
      <c r="C99" s="68"/>
      <c r="D99" s="68"/>
      <c r="E99" s="68"/>
      <c r="F99" s="68"/>
      <c r="G99" s="68"/>
      <c r="H99" s="68"/>
      <c r="I99" s="60">
        <v>33356</v>
      </c>
      <c r="J99" s="60"/>
      <c r="K99" s="60"/>
      <c r="L99" s="60"/>
      <c r="M99" s="60"/>
      <c r="N99" s="60"/>
      <c r="O99" s="18"/>
      <c r="P99" s="19"/>
      <c r="Q99" s="18"/>
      <c r="R99" s="18"/>
      <c r="S99" s="18"/>
    </row>
    <row r="100" spans="1:19" x14ac:dyDescent="0.2">
      <c r="A100" s="67" t="s">
        <v>281</v>
      </c>
      <c r="B100" s="68"/>
      <c r="C100" s="68"/>
      <c r="D100" s="68"/>
      <c r="E100" s="68"/>
      <c r="F100" s="68"/>
      <c r="G100" s="68"/>
      <c r="H100" s="68"/>
      <c r="I100" s="60">
        <v>126220</v>
      </c>
      <c r="J100" s="60"/>
      <c r="K100" s="60"/>
      <c r="L100" s="60"/>
      <c r="M100" s="60"/>
      <c r="N100" s="60"/>
      <c r="O100" s="18"/>
      <c r="P100" s="19"/>
      <c r="Q100" s="18"/>
      <c r="R100" s="18"/>
      <c r="S100" s="18"/>
    </row>
    <row r="101" spans="1:19" x14ac:dyDescent="0.2">
      <c r="A101" s="67" t="s">
        <v>282</v>
      </c>
      <c r="B101" s="68"/>
      <c r="C101" s="68"/>
      <c r="D101" s="68"/>
      <c r="E101" s="68"/>
      <c r="F101" s="68"/>
      <c r="G101" s="68"/>
      <c r="H101" s="68"/>
      <c r="I101" s="60">
        <v>24340</v>
      </c>
      <c r="J101" s="60"/>
      <c r="K101" s="60"/>
      <c r="L101" s="60"/>
      <c r="M101" s="60"/>
      <c r="N101" s="60"/>
      <c r="O101" s="18"/>
      <c r="P101" s="19"/>
      <c r="Q101" s="18"/>
      <c r="R101" s="18"/>
      <c r="S101" s="18"/>
    </row>
    <row r="102" spans="1:19" x14ac:dyDescent="0.2">
      <c r="A102" s="67" t="s">
        <v>283</v>
      </c>
      <c r="B102" s="68"/>
      <c r="C102" s="68"/>
      <c r="D102" s="68"/>
      <c r="E102" s="68"/>
      <c r="F102" s="68"/>
      <c r="G102" s="68"/>
      <c r="H102" s="68"/>
      <c r="I102" s="60">
        <v>104497</v>
      </c>
      <c r="J102" s="60"/>
      <c r="K102" s="60"/>
      <c r="L102" s="60"/>
      <c r="M102" s="60"/>
      <c r="N102" s="60"/>
      <c r="O102" s="18"/>
      <c r="P102" s="19"/>
      <c r="Q102" s="18"/>
      <c r="R102" s="18"/>
      <c r="S102" s="18"/>
    </row>
    <row r="103" spans="1:19" x14ac:dyDescent="0.2">
      <c r="A103" s="67" t="s">
        <v>284</v>
      </c>
      <c r="B103" s="68"/>
      <c r="C103" s="68"/>
      <c r="D103" s="68"/>
      <c r="E103" s="68"/>
      <c r="F103" s="68"/>
      <c r="G103" s="68"/>
      <c r="H103" s="68"/>
      <c r="I103" s="60">
        <v>61962</v>
      </c>
      <c r="J103" s="60"/>
      <c r="K103" s="60"/>
      <c r="L103" s="60"/>
      <c r="M103" s="60"/>
      <c r="N103" s="60"/>
      <c r="O103" s="18"/>
      <c r="P103" s="19"/>
      <c r="Q103" s="18"/>
      <c r="R103" s="18"/>
      <c r="S103" s="18"/>
    </row>
    <row r="104" spans="1:19" ht="25.5" x14ac:dyDescent="0.2">
      <c r="A104" s="65" t="s">
        <v>285</v>
      </c>
      <c r="B104" s="66"/>
      <c r="C104" s="66"/>
      <c r="D104" s="66"/>
      <c r="E104" s="66"/>
      <c r="F104" s="66"/>
      <c r="G104" s="66"/>
      <c r="H104" s="66"/>
      <c r="I104" s="60">
        <v>797663</v>
      </c>
      <c r="J104" s="60"/>
      <c r="K104" s="60"/>
      <c r="L104" s="60"/>
      <c r="M104" s="60"/>
      <c r="N104" s="60" t="s">
        <v>270</v>
      </c>
      <c r="O104" s="18"/>
      <c r="P104" s="19"/>
      <c r="Q104" s="18"/>
      <c r="R104" s="18"/>
      <c r="S104" s="18"/>
    </row>
    <row r="105" spans="1:19" x14ac:dyDescent="0.2">
      <c r="A105" s="17"/>
      <c r="B105" s="37"/>
      <c r="C105" s="37"/>
      <c r="D105" s="17"/>
      <c r="E105" s="34"/>
      <c r="F105" s="34"/>
      <c r="G105" s="34"/>
      <c r="H105" s="34"/>
      <c r="I105" s="38"/>
      <c r="J105" s="34"/>
      <c r="K105" s="34"/>
      <c r="L105" s="34"/>
      <c r="M105" s="34"/>
      <c r="O105" s="5"/>
      <c r="P105" s="5"/>
      <c r="Q105" s="5"/>
      <c r="R105" s="5"/>
      <c r="S105" s="5"/>
    </row>
    <row r="106" spans="1:19" x14ac:dyDescent="0.2">
      <c r="A106" s="17"/>
      <c r="B106" s="37"/>
      <c r="C106" s="37"/>
      <c r="D106" s="17"/>
      <c r="E106" s="34"/>
      <c r="F106" s="34"/>
      <c r="G106" s="34"/>
      <c r="H106" s="34"/>
      <c r="I106" s="38"/>
      <c r="J106" s="34"/>
      <c r="K106" s="34"/>
      <c r="L106" s="34"/>
      <c r="M106" s="34"/>
    </row>
    <row r="107" spans="1:19" x14ac:dyDescent="0.2">
      <c r="A107" s="17"/>
      <c r="B107" s="37"/>
      <c r="C107" s="39" t="s">
        <v>288</v>
      </c>
      <c r="D107" s="17"/>
      <c r="E107" s="34"/>
      <c r="F107" s="39" t="s">
        <v>28</v>
      </c>
      <c r="G107" s="39"/>
      <c r="H107" s="39"/>
      <c r="I107" s="34"/>
      <c r="J107" s="34"/>
      <c r="K107" s="34"/>
      <c r="L107" s="34"/>
      <c r="M107" s="34"/>
    </row>
  </sheetData>
  <mergeCells count="57">
    <mergeCell ref="A20:AI20"/>
    <mergeCell ref="A39:H39"/>
    <mergeCell ref="A40:H40"/>
    <mergeCell ref="B1:M1"/>
    <mergeCell ref="A4:C4"/>
    <mergeCell ref="I4:N4"/>
    <mergeCell ref="J17:J18"/>
    <mergeCell ref="L17:L18"/>
    <mergeCell ref="N17:N18"/>
    <mergeCell ref="A15:A18"/>
    <mergeCell ref="D15:D18"/>
    <mergeCell ref="C15:C18"/>
    <mergeCell ref="B15:B18"/>
    <mergeCell ref="A10:N10"/>
    <mergeCell ref="C11:E11"/>
    <mergeCell ref="D12:E12"/>
    <mergeCell ref="G17:G18"/>
    <mergeCell ref="M15:N16"/>
    <mergeCell ref="E15:G16"/>
    <mergeCell ref="I15:L16"/>
    <mergeCell ref="M17:M18"/>
    <mergeCell ref="H15:H18"/>
    <mergeCell ref="I17:I18"/>
    <mergeCell ref="A41:H41"/>
    <mergeCell ref="A42:H42"/>
    <mergeCell ref="A85:H85"/>
    <mergeCell ref="A44:AI44"/>
    <mergeCell ref="A52:H52"/>
    <mergeCell ref="A53:H53"/>
    <mergeCell ref="A54:H54"/>
    <mergeCell ref="A55:H55"/>
    <mergeCell ref="A56:H56"/>
    <mergeCell ref="A57:AI57"/>
    <mergeCell ref="A66:H66"/>
    <mergeCell ref="A67:H67"/>
    <mergeCell ref="A68:H68"/>
    <mergeCell ref="A69:AI69"/>
    <mergeCell ref="A43:H43"/>
    <mergeCell ref="A97:H97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104:H104"/>
    <mergeCell ref="A98:H98"/>
    <mergeCell ref="A99:H99"/>
    <mergeCell ref="A100:H100"/>
    <mergeCell ref="A101:H101"/>
    <mergeCell ref="A102:H102"/>
    <mergeCell ref="A103:H103"/>
  </mergeCells>
  <phoneticPr fontId="0" type="noConversion"/>
  <pageMargins left="0.23622047244094491" right="0.19685039370078741" top="0.35433070866141736" bottom="0.27559055118110237" header="0.27559055118110237" footer="0.19685039370078741"/>
  <pageSetup paperSize="9" scale="95" orientation="landscape" r:id="rId1"/>
  <headerFooter alignWithMargins="0"/>
  <colBreaks count="1" manualBreakCount="1">
    <brk id="1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2"/>
  <sheetViews>
    <sheetView tabSelected="1" topLeftCell="A100" workbookViewId="0">
      <selection activeCell="I108" sqref="I108"/>
    </sheetView>
  </sheetViews>
  <sheetFormatPr defaultRowHeight="12.75" x14ac:dyDescent="0.2"/>
  <cols>
    <col min="1" max="1" width="3.42578125" style="3" customWidth="1"/>
    <col min="2" max="2" width="14.42578125" style="3" customWidth="1"/>
    <col min="3" max="3" width="41.7109375" style="3" customWidth="1"/>
    <col min="4" max="4" width="6.85546875" style="3" customWidth="1"/>
    <col min="5" max="5" width="9.7109375" style="33" customWidth="1"/>
    <col min="6" max="6" width="8.85546875" style="33" customWidth="1"/>
    <col min="7" max="7" width="0.140625" style="33" hidden="1" customWidth="1"/>
    <col min="8" max="8" width="25.28515625" style="33" customWidth="1"/>
    <col min="9" max="9" width="9.7109375" style="33" customWidth="1"/>
    <col min="10" max="10" width="8.140625" style="33" customWidth="1"/>
    <col min="11" max="11" width="8.7109375" style="33" customWidth="1"/>
    <col min="12" max="12" width="8.85546875" style="33" hidden="1" customWidth="1"/>
    <col min="13" max="13" width="7.7109375" style="33" customWidth="1"/>
    <col min="14" max="14" width="8" style="2" customWidth="1"/>
    <col min="15" max="16384" width="9.140625" style="2"/>
  </cols>
  <sheetData>
    <row r="1" spans="1:14" s="1" customFormat="1" ht="31.5" customHeight="1" x14ac:dyDescent="0.2">
      <c r="A1" s="15"/>
      <c r="B1" s="90" t="s">
        <v>376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4" s="1" customFormat="1" x14ac:dyDescent="0.2">
      <c r="A2" s="8" t="s">
        <v>5</v>
      </c>
      <c r="B2" s="20"/>
      <c r="C2" s="20"/>
      <c r="D2" s="21"/>
      <c r="F2" s="22" t="s">
        <v>1</v>
      </c>
      <c r="G2" s="22"/>
      <c r="J2" s="8"/>
      <c r="L2" s="8"/>
      <c r="M2" s="15"/>
      <c r="N2" s="23" t="s">
        <v>6</v>
      </c>
    </row>
    <row r="3" spans="1:14" s="1" customFormat="1" x14ac:dyDescent="0.2">
      <c r="A3" s="24" t="s">
        <v>7</v>
      </c>
      <c r="E3" s="15"/>
      <c r="F3" s="15"/>
      <c r="G3" s="15"/>
      <c r="H3" s="15"/>
      <c r="J3" s="8"/>
      <c r="L3" s="8"/>
      <c r="M3" s="15"/>
      <c r="N3" s="25" t="s">
        <v>0</v>
      </c>
    </row>
    <row r="4" spans="1:14" s="1" customFormat="1" ht="51" customHeight="1" x14ac:dyDescent="0.2">
      <c r="A4" s="91" t="s">
        <v>25</v>
      </c>
      <c r="B4" s="91"/>
      <c r="C4" s="91"/>
      <c r="F4" s="26" t="s">
        <v>26</v>
      </c>
      <c r="G4" s="15"/>
      <c r="I4" s="92" t="s">
        <v>25</v>
      </c>
      <c r="J4" s="92"/>
      <c r="K4" s="92"/>
      <c r="L4" s="92"/>
      <c r="M4" s="92"/>
      <c r="N4" s="92"/>
    </row>
    <row r="5" spans="1:14" s="1" customFormat="1" x14ac:dyDescent="0.2">
      <c r="A5" s="15"/>
      <c r="B5" s="15"/>
      <c r="C5" s="15"/>
      <c r="F5" s="15" t="s">
        <v>2</v>
      </c>
      <c r="G5" s="15"/>
      <c r="I5" s="15"/>
      <c r="J5" s="15"/>
      <c r="K5" s="15"/>
      <c r="L5" s="15"/>
      <c r="M5" s="15"/>
    </row>
    <row r="6" spans="1:14" s="1" customFormat="1" x14ac:dyDescent="0.2">
      <c r="A6" s="15"/>
      <c r="B6" s="15"/>
      <c r="C6" s="15"/>
      <c r="E6" s="15"/>
      <c r="F6" s="15"/>
      <c r="G6" s="15"/>
      <c r="H6" s="15"/>
      <c r="I6" s="15"/>
      <c r="J6" s="15"/>
      <c r="K6" s="15"/>
      <c r="L6" s="15"/>
      <c r="M6" s="15"/>
    </row>
    <row r="7" spans="1:14" s="1" customFormat="1" x14ac:dyDescent="0.2">
      <c r="A7" s="15"/>
      <c r="B7" s="15"/>
      <c r="C7" s="27"/>
      <c r="D7" s="28" t="s">
        <v>377</v>
      </c>
      <c r="E7" s="29"/>
      <c r="F7" s="29"/>
      <c r="G7" s="29"/>
      <c r="H7" s="29"/>
      <c r="I7" s="30"/>
      <c r="J7" s="30"/>
      <c r="K7" s="30"/>
      <c r="L7" s="30"/>
      <c r="M7" s="15"/>
    </row>
    <row r="8" spans="1:14" s="1" customFormat="1" x14ac:dyDescent="0.2">
      <c r="A8" s="15"/>
      <c r="B8" s="15"/>
      <c r="C8" s="15"/>
      <c r="D8" s="31" t="s">
        <v>21</v>
      </c>
      <c r="E8" s="22"/>
      <c r="F8" s="22"/>
      <c r="G8" s="22"/>
      <c r="I8" s="30"/>
      <c r="J8" s="30"/>
      <c r="K8" s="30"/>
      <c r="L8" s="30"/>
      <c r="M8" s="15"/>
    </row>
    <row r="9" spans="1:14" s="1" customFormat="1" ht="7.5" customHeight="1" x14ac:dyDescent="0.2">
      <c r="A9" s="32"/>
      <c r="B9" s="32"/>
      <c r="C9" s="15"/>
      <c r="E9" s="15"/>
      <c r="F9" s="15"/>
      <c r="G9" s="15"/>
      <c r="H9" s="15"/>
      <c r="I9" s="15"/>
      <c r="J9" s="15"/>
      <c r="M9" s="15"/>
    </row>
    <row r="10" spans="1:14" x14ac:dyDescent="0.2">
      <c r="A10" s="93" t="s">
        <v>27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</row>
    <row r="11" spans="1:14" x14ac:dyDescent="0.2">
      <c r="A11" s="6" t="s">
        <v>10</v>
      </c>
      <c r="B11" s="7"/>
      <c r="C11" s="94">
        <v>960066.88</v>
      </c>
      <c r="D11" s="94"/>
      <c r="E11" s="94"/>
      <c r="F11" s="8" t="s">
        <v>9</v>
      </c>
      <c r="G11" s="9"/>
      <c r="H11" s="9"/>
      <c r="I11" s="9"/>
      <c r="J11" s="9"/>
    </row>
    <row r="12" spans="1:14" x14ac:dyDescent="0.2">
      <c r="A12" s="6" t="s">
        <v>20</v>
      </c>
      <c r="B12" s="7"/>
      <c r="C12" s="10"/>
      <c r="D12" s="95">
        <v>126220</v>
      </c>
      <c r="E12" s="95"/>
      <c r="F12" s="8" t="s">
        <v>9</v>
      </c>
      <c r="G12" s="9"/>
      <c r="H12" s="9"/>
      <c r="I12" s="9"/>
      <c r="J12" s="9"/>
    </row>
    <row r="13" spans="1:14" x14ac:dyDescent="0.2">
      <c r="A13" s="6" t="s">
        <v>286</v>
      </c>
      <c r="B13" s="2"/>
      <c r="C13" s="11"/>
      <c r="D13" s="12"/>
      <c r="E13" s="13"/>
      <c r="F13" s="34"/>
      <c r="G13" s="14"/>
      <c r="H13" s="14"/>
      <c r="I13" s="9"/>
      <c r="J13" s="9"/>
    </row>
    <row r="14" spans="1:14" ht="11.25" customHeight="1" x14ac:dyDescent="0.2">
      <c r="A14" s="15"/>
      <c r="B14" s="8"/>
      <c r="C14" s="8"/>
      <c r="D14" s="15"/>
      <c r="E14" s="9"/>
      <c r="F14" s="9"/>
      <c r="G14" s="9"/>
      <c r="H14" s="10"/>
      <c r="I14" s="9"/>
      <c r="J14" s="9"/>
      <c r="K14" s="9"/>
      <c r="L14" s="9"/>
      <c r="M14" s="9"/>
      <c r="N14" s="2" t="s">
        <v>9</v>
      </c>
    </row>
    <row r="15" spans="1:14" ht="12.75" customHeight="1" x14ac:dyDescent="0.2">
      <c r="A15" s="88" t="s">
        <v>3</v>
      </c>
      <c r="B15" s="88" t="s">
        <v>17</v>
      </c>
      <c r="C15" s="74" t="s">
        <v>22</v>
      </c>
      <c r="D15" s="74" t="s">
        <v>18</v>
      </c>
      <c r="E15" s="80" t="s">
        <v>23</v>
      </c>
      <c r="F15" s="81"/>
      <c r="G15" s="82"/>
      <c r="H15" s="74" t="s">
        <v>4</v>
      </c>
      <c r="I15" s="80" t="s">
        <v>24</v>
      </c>
      <c r="J15" s="86"/>
      <c r="K15" s="86"/>
      <c r="L15" s="77"/>
      <c r="M15" s="76" t="s">
        <v>19</v>
      </c>
      <c r="N15" s="77"/>
    </row>
    <row r="16" spans="1:14" s="4" customFormat="1" ht="38.25" customHeight="1" x14ac:dyDescent="0.2">
      <c r="A16" s="89"/>
      <c r="B16" s="89"/>
      <c r="C16" s="89"/>
      <c r="D16" s="89"/>
      <c r="E16" s="83"/>
      <c r="F16" s="84"/>
      <c r="G16" s="85"/>
      <c r="H16" s="89"/>
      <c r="I16" s="78"/>
      <c r="J16" s="87"/>
      <c r="K16" s="87"/>
      <c r="L16" s="79"/>
      <c r="M16" s="78"/>
      <c r="N16" s="79"/>
    </row>
    <row r="17" spans="1:14" s="4" customFormat="1" ht="12.75" customHeight="1" x14ac:dyDescent="0.2">
      <c r="A17" s="89"/>
      <c r="B17" s="89"/>
      <c r="C17" s="89"/>
      <c r="D17" s="89"/>
      <c r="E17" s="35" t="s">
        <v>12</v>
      </c>
      <c r="F17" s="35" t="s">
        <v>14</v>
      </c>
      <c r="G17" s="74" t="s">
        <v>16</v>
      </c>
      <c r="H17" s="89"/>
      <c r="I17" s="74" t="s">
        <v>12</v>
      </c>
      <c r="J17" s="74" t="s">
        <v>15</v>
      </c>
      <c r="K17" s="35" t="s">
        <v>14</v>
      </c>
      <c r="L17" s="74" t="s">
        <v>16</v>
      </c>
      <c r="M17" s="88" t="s">
        <v>8</v>
      </c>
      <c r="N17" s="74" t="s">
        <v>12</v>
      </c>
    </row>
    <row r="18" spans="1:14" s="4" customFormat="1" ht="11.25" customHeight="1" x14ac:dyDescent="0.2">
      <c r="A18" s="75"/>
      <c r="B18" s="75"/>
      <c r="C18" s="75"/>
      <c r="D18" s="75"/>
      <c r="E18" s="36" t="s">
        <v>11</v>
      </c>
      <c r="F18" s="35" t="s">
        <v>13</v>
      </c>
      <c r="G18" s="75"/>
      <c r="H18" s="75"/>
      <c r="I18" s="75"/>
      <c r="J18" s="75"/>
      <c r="K18" s="35" t="s">
        <v>13</v>
      </c>
      <c r="L18" s="75"/>
      <c r="M18" s="75"/>
      <c r="N18" s="75"/>
    </row>
    <row r="19" spans="1:14" x14ac:dyDescent="0.2">
      <c r="A19" s="40">
        <v>1</v>
      </c>
      <c r="B19" s="40">
        <v>2</v>
      </c>
      <c r="C19" s="40">
        <v>3</v>
      </c>
      <c r="D19" s="40">
        <v>4</v>
      </c>
      <c r="E19" s="40">
        <v>5</v>
      </c>
      <c r="F19" s="40">
        <v>6</v>
      </c>
      <c r="G19" s="40">
        <v>7</v>
      </c>
      <c r="H19" s="40">
        <v>7</v>
      </c>
      <c r="I19" s="40">
        <v>8</v>
      </c>
      <c r="J19" s="40">
        <v>9</v>
      </c>
      <c r="K19" s="40">
        <v>10</v>
      </c>
      <c r="L19" s="40">
        <v>12</v>
      </c>
      <c r="M19" s="40">
        <v>11</v>
      </c>
      <c r="N19" s="40">
        <v>12</v>
      </c>
    </row>
    <row r="20" spans="1:14" ht="21" customHeight="1" x14ac:dyDescent="0.2">
      <c r="A20" s="72" t="s">
        <v>29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</row>
    <row r="21" spans="1:14" ht="96.75" customHeight="1" x14ac:dyDescent="0.2">
      <c r="A21" s="44">
        <v>1</v>
      </c>
      <c r="B21" s="45" t="s">
        <v>30</v>
      </c>
      <c r="C21" s="46" t="s">
        <v>290</v>
      </c>
      <c r="D21" s="44">
        <v>1</v>
      </c>
      <c r="E21" s="47" t="s">
        <v>31</v>
      </c>
      <c r="F21" s="47" t="s">
        <v>32</v>
      </c>
      <c r="G21" s="47">
        <v>3</v>
      </c>
      <c r="H21" s="61" t="s">
        <v>33</v>
      </c>
      <c r="I21" s="49">
        <v>733</v>
      </c>
      <c r="J21" s="47">
        <v>395</v>
      </c>
      <c r="K21" s="47" t="s">
        <v>34</v>
      </c>
      <c r="L21" s="47" t="s">
        <v>291</v>
      </c>
      <c r="M21" s="47" t="s">
        <v>35</v>
      </c>
      <c r="N21" s="47" t="s">
        <v>35</v>
      </c>
    </row>
    <row r="22" spans="1:14" ht="72.75" customHeight="1" x14ac:dyDescent="0.2">
      <c r="A22" s="44">
        <v>2</v>
      </c>
      <c r="B22" s="45" t="s">
        <v>40</v>
      </c>
      <c r="C22" s="46" t="s">
        <v>292</v>
      </c>
      <c r="D22" s="44">
        <v>10</v>
      </c>
      <c r="E22" s="47" t="s">
        <v>41</v>
      </c>
      <c r="F22" s="47"/>
      <c r="G22" s="47">
        <v>0.4</v>
      </c>
      <c r="H22" s="61" t="s">
        <v>42</v>
      </c>
      <c r="I22" s="49">
        <v>1850</v>
      </c>
      <c r="J22" s="47">
        <v>1826</v>
      </c>
      <c r="K22" s="47"/>
      <c r="L22" s="47" t="s">
        <v>293</v>
      </c>
      <c r="M22" s="47">
        <v>1.1200000000000001</v>
      </c>
      <c r="N22" s="47">
        <v>11.2</v>
      </c>
    </row>
    <row r="23" spans="1:14" ht="89.25" x14ac:dyDescent="0.2">
      <c r="A23" s="44">
        <v>3</v>
      </c>
      <c r="B23" s="45" t="s">
        <v>44</v>
      </c>
      <c r="C23" s="46" t="s">
        <v>294</v>
      </c>
      <c r="D23" s="44">
        <v>10</v>
      </c>
      <c r="E23" s="47" t="s">
        <v>45</v>
      </c>
      <c r="F23" s="47">
        <v>0.27</v>
      </c>
      <c r="G23" s="47">
        <v>1.33</v>
      </c>
      <c r="H23" s="61" t="s">
        <v>46</v>
      </c>
      <c r="I23" s="49">
        <v>1590</v>
      </c>
      <c r="J23" s="47">
        <v>1530</v>
      </c>
      <c r="K23" s="47">
        <v>22</v>
      </c>
      <c r="L23" s="47" t="s">
        <v>295</v>
      </c>
      <c r="M23" s="47">
        <v>1.0900000000000001</v>
      </c>
      <c r="N23" s="47">
        <v>10.9</v>
      </c>
    </row>
    <row r="24" spans="1:14" ht="89.25" x14ac:dyDescent="0.2">
      <c r="A24" s="44">
        <v>4</v>
      </c>
      <c r="B24" s="45" t="s">
        <v>49</v>
      </c>
      <c r="C24" s="46" t="s">
        <v>296</v>
      </c>
      <c r="D24" s="44">
        <v>2</v>
      </c>
      <c r="E24" s="47" t="s">
        <v>50</v>
      </c>
      <c r="F24" s="47">
        <v>0.87</v>
      </c>
      <c r="G24" s="47">
        <v>0.18</v>
      </c>
      <c r="H24" s="61" t="s">
        <v>51</v>
      </c>
      <c r="I24" s="49">
        <v>319</v>
      </c>
      <c r="J24" s="47">
        <v>296</v>
      </c>
      <c r="K24" s="47">
        <v>23</v>
      </c>
      <c r="L24" s="47" t="s">
        <v>297</v>
      </c>
      <c r="M24" s="47">
        <v>1.03</v>
      </c>
      <c r="N24" s="47">
        <v>2.06</v>
      </c>
    </row>
    <row r="25" spans="1:14" ht="83.25" customHeight="1" x14ac:dyDescent="0.2">
      <c r="A25" s="44">
        <v>5</v>
      </c>
      <c r="B25" s="45" t="s">
        <v>54</v>
      </c>
      <c r="C25" s="46" t="s">
        <v>298</v>
      </c>
      <c r="D25" s="44">
        <v>2</v>
      </c>
      <c r="E25" s="47" t="s">
        <v>55</v>
      </c>
      <c r="F25" s="47"/>
      <c r="G25" s="47">
        <v>0.34</v>
      </c>
      <c r="H25" s="61" t="s">
        <v>56</v>
      </c>
      <c r="I25" s="49">
        <v>565</v>
      </c>
      <c r="J25" s="47">
        <v>559</v>
      </c>
      <c r="K25" s="47"/>
      <c r="L25" s="47" t="s">
        <v>299</v>
      </c>
      <c r="M25" s="47">
        <v>2</v>
      </c>
      <c r="N25" s="47">
        <v>4</v>
      </c>
    </row>
    <row r="26" spans="1:14" ht="102" x14ac:dyDescent="0.2">
      <c r="A26" s="44">
        <v>6</v>
      </c>
      <c r="B26" s="45" t="s">
        <v>60</v>
      </c>
      <c r="C26" s="46" t="s">
        <v>300</v>
      </c>
      <c r="D26" s="44">
        <v>2</v>
      </c>
      <c r="E26" s="47" t="s">
        <v>61</v>
      </c>
      <c r="F26" s="47"/>
      <c r="G26" s="47">
        <v>1.0900000000000001</v>
      </c>
      <c r="H26" s="61" t="s">
        <v>62</v>
      </c>
      <c r="I26" s="49">
        <v>171</v>
      </c>
      <c r="J26" s="47">
        <v>165</v>
      </c>
      <c r="K26" s="47"/>
      <c r="L26" s="47" t="s">
        <v>301</v>
      </c>
      <c r="M26" s="47">
        <v>0.52</v>
      </c>
      <c r="N26" s="47">
        <v>1.04</v>
      </c>
    </row>
    <row r="27" spans="1:14" ht="89.25" x14ac:dyDescent="0.2">
      <c r="A27" s="44">
        <v>7</v>
      </c>
      <c r="B27" s="45" t="s">
        <v>64</v>
      </c>
      <c r="C27" s="46" t="s">
        <v>302</v>
      </c>
      <c r="D27" s="44">
        <v>0.4</v>
      </c>
      <c r="E27" s="47" t="s">
        <v>65</v>
      </c>
      <c r="F27" s="47" t="s">
        <v>66</v>
      </c>
      <c r="G27" s="47">
        <v>91.6</v>
      </c>
      <c r="H27" s="61" t="s">
        <v>67</v>
      </c>
      <c r="I27" s="49">
        <v>3778</v>
      </c>
      <c r="J27" s="47">
        <v>2829</v>
      </c>
      <c r="K27" s="47" t="s">
        <v>68</v>
      </c>
      <c r="L27" s="47" t="s">
        <v>303</v>
      </c>
      <c r="M27" s="47" t="s">
        <v>69</v>
      </c>
      <c r="N27" s="47" t="s">
        <v>70</v>
      </c>
    </row>
    <row r="28" spans="1:14" ht="102" x14ac:dyDescent="0.2">
      <c r="A28" s="44">
        <v>8</v>
      </c>
      <c r="B28" s="45" t="s">
        <v>73</v>
      </c>
      <c r="C28" s="46" t="s">
        <v>304</v>
      </c>
      <c r="D28" s="44" t="s">
        <v>74</v>
      </c>
      <c r="E28" s="47" t="s">
        <v>75</v>
      </c>
      <c r="F28" s="47" t="s">
        <v>76</v>
      </c>
      <c r="G28" s="47">
        <v>37.56</v>
      </c>
      <c r="H28" s="61" t="s">
        <v>77</v>
      </c>
      <c r="I28" s="49">
        <v>19351</v>
      </c>
      <c r="J28" s="47">
        <v>14098</v>
      </c>
      <c r="K28" s="47" t="s">
        <v>78</v>
      </c>
      <c r="L28" s="47" t="s">
        <v>305</v>
      </c>
      <c r="M28" s="47" t="s">
        <v>79</v>
      </c>
      <c r="N28" s="47" t="s">
        <v>80</v>
      </c>
    </row>
    <row r="29" spans="1:14" ht="97.5" customHeight="1" x14ac:dyDescent="0.2">
      <c r="A29" s="44">
        <v>9</v>
      </c>
      <c r="B29" s="45" t="s">
        <v>83</v>
      </c>
      <c r="C29" s="46" t="s">
        <v>306</v>
      </c>
      <c r="D29" s="44">
        <v>3.5</v>
      </c>
      <c r="E29" s="47" t="s">
        <v>84</v>
      </c>
      <c r="F29" s="47" t="s">
        <v>85</v>
      </c>
      <c r="G29" s="47">
        <v>228.04</v>
      </c>
      <c r="H29" s="61" t="s">
        <v>86</v>
      </c>
      <c r="I29" s="49">
        <v>23600</v>
      </c>
      <c r="J29" s="47">
        <v>13341</v>
      </c>
      <c r="K29" s="47" t="s">
        <v>87</v>
      </c>
      <c r="L29" s="47" t="s">
        <v>307</v>
      </c>
      <c r="M29" s="47" t="s">
        <v>88</v>
      </c>
      <c r="N29" s="47" t="s">
        <v>89</v>
      </c>
    </row>
    <row r="30" spans="1:14" ht="89.25" x14ac:dyDescent="0.2">
      <c r="A30" s="44">
        <v>10</v>
      </c>
      <c r="B30" s="45" t="s">
        <v>73</v>
      </c>
      <c r="C30" s="46" t="s">
        <v>308</v>
      </c>
      <c r="D30" s="44">
        <v>3.5</v>
      </c>
      <c r="E30" s="47" t="s">
        <v>75</v>
      </c>
      <c r="F30" s="47" t="s">
        <v>76</v>
      </c>
      <c r="G30" s="47">
        <v>37.56</v>
      </c>
      <c r="H30" s="61" t="s">
        <v>77</v>
      </c>
      <c r="I30" s="49">
        <v>7537</v>
      </c>
      <c r="J30" s="47">
        <v>5494</v>
      </c>
      <c r="K30" s="47" t="s">
        <v>92</v>
      </c>
      <c r="L30" s="47" t="s">
        <v>309</v>
      </c>
      <c r="M30" s="47" t="s">
        <v>79</v>
      </c>
      <c r="N30" s="47" t="s">
        <v>93</v>
      </c>
    </row>
    <row r="31" spans="1:14" ht="89.25" x14ac:dyDescent="0.2">
      <c r="A31" s="44">
        <v>11</v>
      </c>
      <c r="B31" s="45" t="s">
        <v>94</v>
      </c>
      <c r="C31" s="46" t="s">
        <v>310</v>
      </c>
      <c r="D31" s="44">
        <v>0.15</v>
      </c>
      <c r="E31" s="47" t="s">
        <v>95</v>
      </c>
      <c r="F31" s="47"/>
      <c r="G31" s="47">
        <v>9.67</v>
      </c>
      <c r="H31" s="61" t="s">
        <v>96</v>
      </c>
      <c r="I31" s="49">
        <v>349</v>
      </c>
      <c r="J31" s="47">
        <v>345</v>
      </c>
      <c r="K31" s="47"/>
      <c r="L31" s="47" t="s">
        <v>311</v>
      </c>
      <c r="M31" s="47">
        <v>12.4</v>
      </c>
      <c r="N31" s="47">
        <v>1.86</v>
      </c>
    </row>
    <row r="32" spans="1:14" ht="114.75" x14ac:dyDescent="0.2">
      <c r="A32" s="44">
        <v>12</v>
      </c>
      <c r="B32" s="45" t="s">
        <v>98</v>
      </c>
      <c r="C32" s="46" t="s">
        <v>312</v>
      </c>
      <c r="D32" s="44">
        <v>10</v>
      </c>
      <c r="E32" s="47" t="s">
        <v>99</v>
      </c>
      <c r="F32" s="47"/>
      <c r="G32" s="47">
        <v>4.17</v>
      </c>
      <c r="H32" s="61" t="s">
        <v>100</v>
      </c>
      <c r="I32" s="49">
        <v>2093</v>
      </c>
      <c r="J32" s="47">
        <v>1744</v>
      </c>
      <c r="K32" s="47"/>
      <c r="L32" s="47" t="s">
        <v>313</v>
      </c>
      <c r="M32" s="47">
        <v>1.1000000000000001</v>
      </c>
      <c r="N32" s="47">
        <v>11</v>
      </c>
    </row>
    <row r="33" spans="1:14" ht="102" x14ac:dyDescent="0.2">
      <c r="A33" s="44">
        <v>13</v>
      </c>
      <c r="B33" s="45" t="s">
        <v>102</v>
      </c>
      <c r="C33" s="46" t="s">
        <v>314</v>
      </c>
      <c r="D33" s="44">
        <v>0.1</v>
      </c>
      <c r="E33" s="47" t="s">
        <v>103</v>
      </c>
      <c r="F33" s="47" t="s">
        <v>104</v>
      </c>
      <c r="G33" s="47">
        <v>105.21</v>
      </c>
      <c r="H33" s="61" t="s">
        <v>105</v>
      </c>
      <c r="I33" s="49">
        <v>426</v>
      </c>
      <c r="J33" s="47">
        <v>329</v>
      </c>
      <c r="K33" s="47">
        <v>58</v>
      </c>
      <c r="L33" s="47" t="s">
        <v>315</v>
      </c>
      <c r="M33" s="47" t="s">
        <v>106</v>
      </c>
      <c r="N33" s="47" t="s">
        <v>107</v>
      </c>
    </row>
    <row r="34" spans="1:14" ht="91.5" customHeight="1" x14ac:dyDescent="0.2">
      <c r="A34" s="44">
        <v>14</v>
      </c>
      <c r="B34" s="45" t="s">
        <v>109</v>
      </c>
      <c r="C34" s="46" t="s">
        <v>316</v>
      </c>
      <c r="D34" s="44">
        <v>4.2</v>
      </c>
      <c r="E34" s="47" t="s">
        <v>110</v>
      </c>
      <c r="F34" s="47" t="s">
        <v>111</v>
      </c>
      <c r="G34" s="47">
        <v>301.01</v>
      </c>
      <c r="H34" s="61" t="s">
        <v>105</v>
      </c>
      <c r="I34" s="49">
        <v>19454</v>
      </c>
      <c r="J34" s="47">
        <v>13061</v>
      </c>
      <c r="K34" s="47" t="s">
        <v>112</v>
      </c>
      <c r="L34" s="47" t="s">
        <v>317</v>
      </c>
      <c r="M34" s="47" t="s">
        <v>113</v>
      </c>
      <c r="N34" s="47" t="s">
        <v>114</v>
      </c>
    </row>
    <row r="35" spans="1:14" ht="102" x14ac:dyDescent="0.2">
      <c r="A35" s="44">
        <v>15</v>
      </c>
      <c r="B35" s="45" t="s">
        <v>109</v>
      </c>
      <c r="C35" s="46" t="s">
        <v>318</v>
      </c>
      <c r="D35" s="44">
        <v>2.1</v>
      </c>
      <c r="E35" s="47" t="s">
        <v>110</v>
      </c>
      <c r="F35" s="47" t="s">
        <v>111</v>
      </c>
      <c r="G35" s="47">
        <v>301.01</v>
      </c>
      <c r="H35" s="61" t="s">
        <v>105</v>
      </c>
      <c r="I35" s="49">
        <v>9724</v>
      </c>
      <c r="J35" s="47">
        <v>6531</v>
      </c>
      <c r="K35" s="47" t="s">
        <v>116</v>
      </c>
      <c r="L35" s="47" t="s">
        <v>319</v>
      </c>
      <c r="M35" s="47" t="s">
        <v>113</v>
      </c>
      <c r="N35" s="47" t="s">
        <v>117</v>
      </c>
    </row>
    <row r="36" spans="1:14" ht="63.75" x14ac:dyDescent="0.2">
      <c r="A36" s="44">
        <v>16</v>
      </c>
      <c r="B36" s="45" t="s">
        <v>118</v>
      </c>
      <c r="C36" s="46" t="s">
        <v>320</v>
      </c>
      <c r="D36" s="44">
        <v>-8.4000000000000005E-2</v>
      </c>
      <c r="E36" s="47">
        <v>5763</v>
      </c>
      <c r="F36" s="47"/>
      <c r="G36" s="47">
        <v>5763</v>
      </c>
      <c r="H36" s="61" t="s">
        <v>119</v>
      </c>
      <c r="I36" s="49">
        <v>-2548</v>
      </c>
      <c r="J36" s="47"/>
      <c r="K36" s="47"/>
      <c r="L36" s="47" t="s">
        <v>321</v>
      </c>
      <c r="M36" s="47"/>
      <c r="N36" s="47"/>
    </row>
    <row r="37" spans="1:14" ht="89.25" x14ac:dyDescent="0.2">
      <c r="A37" s="44">
        <v>17</v>
      </c>
      <c r="B37" s="45" t="s">
        <v>122</v>
      </c>
      <c r="C37" s="46" t="s">
        <v>322</v>
      </c>
      <c r="D37" s="44">
        <v>2.58</v>
      </c>
      <c r="E37" s="47" t="s">
        <v>123</v>
      </c>
      <c r="F37" s="47" t="s">
        <v>124</v>
      </c>
      <c r="G37" s="47">
        <v>25.57</v>
      </c>
      <c r="H37" s="61" t="s">
        <v>125</v>
      </c>
      <c r="I37" s="49">
        <v>9075</v>
      </c>
      <c r="J37" s="47">
        <v>7583</v>
      </c>
      <c r="K37" s="47" t="s">
        <v>126</v>
      </c>
      <c r="L37" s="47" t="s">
        <v>323</v>
      </c>
      <c r="M37" s="47" t="s">
        <v>127</v>
      </c>
      <c r="N37" s="47" t="s">
        <v>128</v>
      </c>
    </row>
    <row r="38" spans="1:14" ht="165.75" x14ac:dyDescent="0.2">
      <c r="A38" s="53">
        <v>18</v>
      </c>
      <c r="B38" s="54" t="s">
        <v>130</v>
      </c>
      <c r="C38" s="55" t="s">
        <v>324</v>
      </c>
      <c r="D38" s="53">
        <v>6</v>
      </c>
      <c r="E38" s="56" t="s">
        <v>131</v>
      </c>
      <c r="F38" s="56"/>
      <c r="G38" s="56">
        <v>4.93</v>
      </c>
      <c r="H38" s="57" t="s">
        <v>132</v>
      </c>
      <c r="I38" s="58">
        <v>24480</v>
      </c>
      <c r="J38" s="56">
        <v>24313</v>
      </c>
      <c r="K38" s="56"/>
      <c r="L38" s="56" t="s">
        <v>325</v>
      </c>
      <c r="M38" s="56">
        <v>23.8</v>
      </c>
      <c r="N38" s="56">
        <v>142.80000000000001</v>
      </c>
    </row>
    <row r="39" spans="1:14" ht="25.5" x14ac:dyDescent="0.2">
      <c r="A39" s="69" t="s">
        <v>135</v>
      </c>
      <c r="B39" s="68"/>
      <c r="C39" s="68"/>
      <c r="D39" s="68"/>
      <c r="E39" s="68"/>
      <c r="F39" s="68"/>
      <c r="G39" s="68"/>
      <c r="H39" s="68"/>
      <c r="I39" s="49">
        <v>10389</v>
      </c>
      <c r="J39" s="47">
        <v>5741</v>
      </c>
      <c r="K39" s="47" t="s">
        <v>136</v>
      </c>
      <c r="L39" s="47">
        <v>2888</v>
      </c>
      <c r="M39" s="47"/>
      <c r="N39" s="47" t="s">
        <v>137</v>
      </c>
    </row>
    <row r="40" spans="1:14" ht="25.5" x14ac:dyDescent="0.2">
      <c r="A40" s="69" t="s">
        <v>138</v>
      </c>
      <c r="B40" s="68"/>
      <c r="C40" s="68"/>
      <c r="D40" s="68"/>
      <c r="E40" s="68"/>
      <c r="F40" s="68"/>
      <c r="G40" s="68"/>
      <c r="H40" s="68"/>
      <c r="I40" s="49">
        <v>122546</v>
      </c>
      <c r="J40" s="47">
        <v>94439</v>
      </c>
      <c r="K40" s="47" t="s">
        <v>139</v>
      </c>
      <c r="L40" s="47">
        <v>14477</v>
      </c>
      <c r="M40" s="47"/>
      <c r="N40" s="47" t="s">
        <v>137</v>
      </c>
    </row>
    <row r="41" spans="1:14" x14ac:dyDescent="0.2">
      <c r="A41" s="69" t="s">
        <v>140</v>
      </c>
      <c r="B41" s="68"/>
      <c r="C41" s="68"/>
      <c r="D41" s="68"/>
      <c r="E41" s="68"/>
      <c r="F41" s="68"/>
      <c r="G41" s="68"/>
      <c r="H41" s="68"/>
      <c r="I41" s="49">
        <v>80466</v>
      </c>
      <c r="J41" s="47"/>
      <c r="K41" s="47"/>
      <c r="L41" s="47"/>
      <c r="M41" s="47"/>
      <c r="N41" s="47"/>
    </row>
    <row r="42" spans="1:14" x14ac:dyDescent="0.2">
      <c r="A42" s="69" t="s">
        <v>141</v>
      </c>
      <c r="B42" s="68"/>
      <c r="C42" s="68"/>
      <c r="D42" s="68"/>
      <c r="E42" s="68"/>
      <c r="F42" s="68"/>
      <c r="G42" s="68"/>
      <c r="H42" s="68"/>
      <c r="I42" s="49">
        <v>49690</v>
      </c>
      <c r="J42" s="47"/>
      <c r="K42" s="47"/>
      <c r="L42" s="47"/>
      <c r="M42" s="47"/>
      <c r="N42" s="47"/>
    </row>
    <row r="43" spans="1:14" ht="25.5" x14ac:dyDescent="0.2">
      <c r="A43" s="70" t="s">
        <v>142</v>
      </c>
      <c r="B43" s="71"/>
      <c r="C43" s="71"/>
      <c r="D43" s="71"/>
      <c r="E43" s="71"/>
      <c r="F43" s="71"/>
      <c r="G43" s="71"/>
      <c r="H43" s="71"/>
      <c r="I43" s="58">
        <v>252702</v>
      </c>
      <c r="J43" s="56"/>
      <c r="K43" s="56"/>
      <c r="L43" s="56"/>
      <c r="M43" s="56"/>
      <c r="N43" s="56" t="s">
        <v>137</v>
      </c>
    </row>
    <row r="44" spans="1:14" ht="21" customHeight="1" x14ac:dyDescent="0.2">
      <c r="A44" s="72" t="s">
        <v>143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</row>
    <row r="45" spans="1:14" ht="84" customHeight="1" x14ac:dyDescent="0.2">
      <c r="A45" s="44">
        <v>19</v>
      </c>
      <c r="B45" s="45" t="s">
        <v>144</v>
      </c>
      <c r="C45" s="46" t="s">
        <v>326</v>
      </c>
      <c r="D45" s="44">
        <v>0.22</v>
      </c>
      <c r="E45" s="47" t="s">
        <v>145</v>
      </c>
      <c r="F45" s="47" t="s">
        <v>146</v>
      </c>
      <c r="G45" s="47"/>
      <c r="H45" s="61" t="s">
        <v>147</v>
      </c>
      <c r="I45" s="49">
        <v>15073</v>
      </c>
      <c r="J45" s="47">
        <v>7320</v>
      </c>
      <c r="K45" s="47" t="s">
        <v>148</v>
      </c>
      <c r="L45" s="47" t="s">
        <v>327</v>
      </c>
      <c r="M45" s="47" t="s">
        <v>149</v>
      </c>
      <c r="N45" s="47" t="s">
        <v>150</v>
      </c>
    </row>
    <row r="46" spans="1:14" ht="102.75" customHeight="1" x14ac:dyDescent="0.2">
      <c r="A46" s="44">
        <v>20</v>
      </c>
      <c r="B46" s="45" t="s">
        <v>154</v>
      </c>
      <c r="C46" s="46" t="s">
        <v>328</v>
      </c>
      <c r="D46" s="44">
        <v>0.56499999999999995</v>
      </c>
      <c r="E46" s="47" t="s">
        <v>155</v>
      </c>
      <c r="F46" s="47"/>
      <c r="G46" s="47"/>
      <c r="H46" s="61" t="s">
        <v>156</v>
      </c>
      <c r="I46" s="49">
        <v>11170</v>
      </c>
      <c r="J46" s="47">
        <v>11170</v>
      </c>
      <c r="K46" s="47"/>
      <c r="L46" s="47" t="s">
        <v>327</v>
      </c>
      <c r="M46" s="47">
        <v>154</v>
      </c>
      <c r="N46" s="47">
        <v>87.01</v>
      </c>
    </row>
    <row r="47" spans="1:14" ht="96.75" customHeight="1" x14ac:dyDescent="0.2">
      <c r="A47" s="44">
        <v>21</v>
      </c>
      <c r="B47" s="45" t="s">
        <v>161</v>
      </c>
      <c r="C47" s="46" t="s">
        <v>329</v>
      </c>
      <c r="D47" s="44">
        <v>0.56499999999999995</v>
      </c>
      <c r="E47" s="47" t="s">
        <v>162</v>
      </c>
      <c r="F47" s="47"/>
      <c r="G47" s="47"/>
      <c r="H47" s="61" t="s">
        <v>163</v>
      </c>
      <c r="I47" s="49">
        <v>6777</v>
      </c>
      <c r="J47" s="47">
        <v>6777</v>
      </c>
      <c r="K47" s="47"/>
      <c r="L47" s="47" t="s">
        <v>327</v>
      </c>
      <c r="M47" s="47">
        <v>97.2</v>
      </c>
      <c r="N47" s="47">
        <v>54.92</v>
      </c>
    </row>
    <row r="48" spans="1:14" ht="102.75" customHeight="1" x14ac:dyDescent="0.2">
      <c r="A48" s="44">
        <v>22</v>
      </c>
      <c r="B48" s="45" t="s">
        <v>165</v>
      </c>
      <c r="C48" s="46" t="s">
        <v>330</v>
      </c>
      <c r="D48" s="44" t="s">
        <v>166</v>
      </c>
      <c r="E48" s="47" t="s">
        <v>167</v>
      </c>
      <c r="F48" s="47" t="s">
        <v>168</v>
      </c>
      <c r="G48" s="47">
        <v>17.079999999999998</v>
      </c>
      <c r="H48" s="61" t="s">
        <v>169</v>
      </c>
      <c r="I48" s="49">
        <v>8439</v>
      </c>
      <c r="J48" s="47">
        <v>757</v>
      </c>
      <c r="K48" s="47" t="s">
        <v>170</v>
      </c>
      <c r="L48" s="47" t="s">
        <v>331</v>
      </c>
      <c r="M48" s="47" t="s">
        <v>171</v>
      </c>
      <c r="N48" s="47" t="s">
        <v>172</v>
      </c>
    </row>
    <row r="49" spans="1:14" ht="41.25" customHeight="1" x14ac:dyDescent="0.2">
      <c r="A49" s="44">
        <v>23</v>
      </c>
      <c r="B49" s="45" t="s">
        <v>177</v>
      </c>
      <c r="C49" s="46" t="s">
        <v>332</v>
      </c>
      <c r="D49" s="44" t="s">
        <v>178</v>
      </c>
      <c r="E49" s="47">
        <v>60</v>
      </c>
      <c r="F49" s="47"/>
      <c r="G49" s="47">
        <v>60</v>
      </c>
      <c r="H49" s="61" t="s">
        <v>179</v>
      </c>
      <c r="I49" s="49">
        <v>28484</v>
      </c>
      <c r="J49" s="47"/>
      <c r="K49" s="47"/>
      <c r="L49" s="47" t="s">
        <v>333</v>
      </c>
      <c r="M49" s="47"/>
      <c r="N49" s="47"/>
    </row>
    <row r="50" spans="1:14" ht="124.5" customHeight="1" x14ac:dyDescent="0.2">
      <c r="A50" s="44">
        <v>24</v>
      </c>
      <c r="B50" s="45" t="s">
        <v>182</v>
      </c>
      <c r="C50" s="46" t="s">
        <v>334</v>
      </c>
      <c r="D50" s="44">
        <v>0.18079999999999999</v>
      </c>
      <c r="E50" s="47" t="s">
        <v>183</v>
      </c>
      <c r="F50" s="47" t="s">
        <v>184</v>
      </c>
      <c r="G50" s="47">
        <v>43911.63</v>
      </c>
      <c r="H50" s="61" t="s">
        <v>185</v>
      </c>
      <c r="I50" s="49">
        <v>55961</v>
      </c>
      <c r="J50" s="47">
        <v>1102</v>
      </c>
      <c r="K50" s="47" t="s">
        <v>186</v>
      </c>
      <c r="L50" s="47" t="s">
        <v>335</v>
      </c>
      <c r="M50" s="47" t="s">
        <v>187</v>
      </c>
      <c r="N50" s="47" t="s">
        <v>188</v>
      </c>
    </row>
    <row r="51" spans="1:14" ht="120.75" customHeight="1" x14ac:dyDescent="0.2">
      <c r="A51" s="53">
        <v>25</v>
      </c>
      <c r="B51" s="54" t="s">
        <v>191</v>
      </c>
      <c r="C51" s="55" t="s">
        <v>336</v>
      </c>
      <c r="D51" s="53">
        <v>0.18079999999999999</v>
      </c>
      <c r="E51" s="56" t="s">
        <v>192</v>
      </c>
      <c r="F51" s="56">
        <v>37.200000000000003</v>
      </c>
      <c r="G51" s="56">
        <v>65658.84</v>
      </c>
      <c r="H51" s="57" t="s">
        <v>185</v>
      </c>
      <c r="I51" s="58">
        <v>75721</v>
      </c>
      <c r="J51" s="56">
        <v>33</v>
      </c>
      <c r="K51" s="56">
        <v>70</v>
      </c>
      <c r="L51" s="56" t="s">
        <v>337</v>
      </c>
      <c r="M51" s="56">
        <v>1.08</v>
      </c>
      <c r="N51" s="56">
        <v>0.2</v>
      </c>
    </row>
    <row r="52" spans="1:14" ht="25.5" x14ac:dyDescent="0.2">
      <c r="A52" s="69" t="s">
        <v>135</v>
      </c>
      <c r="B52" s="68"/>
      <c r="C52" s="68"/>
      <c r="D52" s="68"/>
      <c r="E52" s="68"/>
      <c r="F52" s="68"/>
      <c r="G52" s="68"/>
      <c r="H52" s="68"/>
      <c r="I52" s="49">
        <v>26238</v>
      </c>
      <c r="J52" s="47">
        <v>1651</v>
      </c>
      <c r="K52" s="47" t="s">
        <v>195</v>
      </c>
      <c r="L52" s="47">
        <v>22463</v>
      </c>
      <c r="M52" s="47"/>
      <c r="N52" s="47" t="s">
        <v>196</v>
      </c>
    </row>
    <row r="53" spans="1:14" ht="25.5" x14ac:dyDescent="0.2">
      <c r="A53" s="69" t="s">
        <v>138</v>
      </c>
      <c r="B53" s="68"/>
      <c r="C53" s="68"/>
      <c r="D53" s="68"/>
      <c r="E53" s="68"/>
      <c r="F53" s="68"/>
      <c r="G53" s="68"/>
      <c r="H53" s="68"/>
      <c r="I53" s="49">
        <v>201625</v>
      </c>
      <c r="J53" s="47">
        <v>27159</v>
      </c>
      <c r="K53" s="47" t="s">
        <v>197</v>
      </c>
      <c r="L53" s="47">
        <v>154742</v>
      </c>
      <c r="M53" s="47"/>
      <c r="N53" s="47" t="s">
        <v>196</v>
      </c>
    </row>
    <row r="54" spans="1:14" x14ac:dyDescent="0.2">
      <c r="A54" s="69" t="s">
        <v>140</v>
      </c>
      <c r="B54" s="68"/>
      <c r="C54" s="68"/>
      <c r="D54" s="68"/>
      <c r="E54" s="68"/>
      <c r="F54" s="68"/>
      <c r="G54" s="68"/>
      <c r="H54" s="68"/>
      <c r="I54" s="49">
        <v>24031</v>
      </c>
      <c r="J54" s="47"/>
      <c r="K54" s="47"/>
      <c r="L54" s="47"/>
      <c r="M54" s="47"/>
      <c r="N54" s="47"/>
    </row>
    <row r="55" spans="1:14" x14ac:dyDescent="0.2">
      <c r="A55" s="69" t="s">
        <v>141</v>
      </c>
      <c r="B55" s="68"/>
      <c r="C55" s="68"/>
      <c r="D55" s="68"/>
      <c r="E55" s="68"/>
      <c r="F55" s="68"/>
      <c r="G55" s="68"/>
      <c r="H55" s="68"/>
      <c r="I55" s="49">
        <v>12272</v>
      </c>
      <c r="J55" s="47"/>
      <c r="K55" s="47"/>
      <c r="L55" s="47"/>
      <c r="M55" s="47"/>
      <c r="N55" s="47"/>
    </row>
    <row r="56" spans="1:14" ht="25.5" x14ac:dyDescent="0.2">
      <c r="A56" s="70" t="s">
        <v>198</v>
      </c>
      <c r="B56" s="71"/>
      <c r="C56" s="71"/>
      <c r="D56" s="71"/>
      <c r="E56" s="71"/>
      <c r="F56" s="71"/>
      <c r="G56" s="71"/>
      <c r="H56" s="71"/>
      <c r="I56" s="58">
        <v>237928</v>
      </c>
      <c r="J56" s="56"/>
      <c r="K56" s="56"/>
      <c r="L56" s="56"/>
      <c r="M56" s="56"/>
      <c r="N56" s="56" t="s">
        <v>196</v>
      </c>
    </row>
    <row r="57" spans="1:14" ht="21" customHeight="1" x14ac:dyDescent="0.2">
      <c r="A57" s="72" t="s">
        <v>199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</row>
    <row r="58" spans="1:14" ht="59.25" customHeight="1" x14ac:dyDescent="0.2">
      <c r="A58" s="44">
        <v>26</v>
      </c>
      <c r="B58" s="45" t="s">
        <v>200</v>
      </c>
      <c r="C58" s="46" t="s">
        <v>338</v>
      </c>
      <c r="D58" s="44">
        <v>1</v>
      </c>
      <c r="E58" s="47">
        <v>269.08</v>
      </c>
      <c r="F58" s="47"/>
      <c r="G58" s="47"/>
      <c r="H58" s="61" t="s">
        <v>201</v>
      </c>
      <c r="I58" s="49">
        <v>1030</v>
      </c>
      <c r="J58" s="47"/>
      <c r="K58" s="47"/>
      <c r="L58" s="47" t="s">
        <v>327</v>
      </c>
      <c r="M58" s="47"/>
      <c r="N58" s="47"/>
    </row>
    <row r="59" spans="1:14" ht="59.25" customHeight="1" x14ac:dyDescent="0.2">
      <c r="A59" s="44">
        <v>27</v>
      </c>
      <c r="B59" s="45" t="s">
        <v>204</v>
      </c>
      <c r="C59" s="46" t="s">
        <v>339</v>
      </c>
      <c r="D59" s="44">
        <v>6</v>
      </c>
      <c r="E59" s="47">
        <v>178.56</v>
      </c>
      <c r="F59" s="47"/>
      <c r="G59" s="47"/>
      <c r="H59" s="61" t="s">
        <v>201</v>
      </c>
      <c r="I59" s="49">
        <v>4102</v>
      </c>
      <c r="J59" s="47"/>
      <c r="K59" s="47"/>
      <c r="L59" s="47" t="s">
        <v>327</v>
      </c>
      <c r="M59" s="47"/>
      <c r="N59" s="47"/>
    </row>
    <row r="60" spans="1:14" ht="59.25" customHeight="1" x14ac:dyDescent="0.2">
      <c r="A60" s="44">
        <v>28</v>
      </c>
      <c r="B60" s="45" t="s">
        <v>206</v>
      </c>
      <c r="C60" s="46" t="s">
        <v>340</v>
      </c>
      <c r="D60" s="44">
        <v>1</v>
      </c>
      <c r="E60" s="47">
        <v>95.38</v>
      </c>
      <c r="F60" s="47"/>
      <c r="G60" s="47"/>
      <c r="H60" s="61" t="s">
        <v>201</v>
      </c>
      <c r="I60" s="49">
        <v>364</v>
      </c>
      <c r="J60" s="47"/>
      <c r="K60" s="47"/>
      <c r="L60" s="47" t="s">
        <v>327</v>
      </c>
      <c r="M60" s="47"/>
      <c r="N60" s="47"/>
    </row>
    <row r="61" spans="1:14" ht="59.25" customHeight="1" x14ac:dyDescent="0.2">
      <c r="A61" s="44">
        <v>29</v>
      </c>
      <c r="B61" s="45" t="s">
        <v>208</v>
      </c>
      <c r="C61" s="46" t="s">
        <v>341</v>
      </c>
      <c r="D61" s="44">
        <v>1</v>
      </c>
      <c r="E61" s="47">
        <v>257.43</v>
      </c>
      <c r="F61" s="47"/>
      <c r="G61" s="47"/>
      <c r="H61" s="61" t="s">
        <v>201</v>
      </c>
      <c r="I61" s="49">
        <v>984</v>
      </c>
      <c r="J61" s="47"/>
      <c r="K61" s="47"/>
      <c r="L61" s="47" t="s">
        <v>327</v>
      </c>
      <c r="M61" s="47"/>
      <c r="N61" s="47"/>
    </row>
    <row r="62" spans="1:14" ht="59.25" customHeight="1" x14ac:dyDescent="0.2">
      <c r="A62" s="44">
        <v>30</v>
      </c>
      <c r="B62" s="45" t="s">
        <v>211</v>
      </c>
      <c r="C62" s="46" t="s">
        <v>342</v>
      </c>
      <c r="D62" s="44">
        <v>4</v>
      </c>
      <c r="E62" s="47">
        <v>115.26</v>
      </c>
      <c r="F62" s="47"/>
      <c r="G62" s="47"/>
      <c r="H62" s="61" t="s">
        <v>201</v>
      </c>
      <c r="I62" s="49">
        <v>1766</v>
      </c>
      <c r="J62" s="47"/>
      <c r="K62" s="47"/>
      <c r="L62" s="47" t="s">
        <v>327</v>
      </c>
      <c r="M62" s="47"/>
      <c r="N62" s="47"/>
    </row>
    <row r="63" spans="1:14" ht="59.25" customHeight="1" x14ac:dyDescent="0.2">
      <c r="A63" s="44">
        <v>31</v>
      </c>
      <c r="B63" s="45" t="s">
        <v>213</v>
      </c>
      <c r="C63" s="46" t="s">
        <v>343</v>
      </c>
      <c r="D63" s="44">
        <v>2</v>
      </c>
      <c r="E63" s="47">
        <v>122.34</v>
      </c>
      <c r="F63" s="47"/>
      <c r="G63" s="47"/>
      <c r="H63" s="61" t="s">
        <v>201</v>
      </c>
      <c r="I63" s="49">
        <v>938</v>
      </c>
      <c r="J63" s="47"/>
      <c r="K63" s="47"/>
      <c r="L63" s="47" t="s">
        <v>327</v>
      </c>
      <c r="M63" s="47"/>
      <c r="N63" s="47"/>
    </row>
    <row r="64" spans="1:14" ht="59.25" customHeight="1" x14ac:dyDescent="0.2">
      <c r="A64" s="44">
        <v>32</v>
      </c>
      <c r="B64" s="45" t="s">
        <v>215</v>
      </c>
      <c r="C64" s="46" t="s">
        <v>344</v>
      </c>
      <c r="D64" s="44">
        <v>2</v>
      </c>
      <c r="E64" s="47">
        <v>953</v>
      </c>
      <c r="F64" s="47"/>
      <c r="G64" s="47"/>
      <c r="H64" s="61" t="s">
        <v>201</v>
      </c>
      <c r="I64" s="49">
        <v>7300</v>
      </c>
      <c r="J64" s="47"/>
      <c r="K64" s="47"/>
      <c r="L64" s="47" t="s">
        <v>327</v>
      </c>
      <c r="M64" s="47"/>
      <c r="N64" s="47"/>
    </row>
    <row r="65" spans="1:14" ht="59.25" customHeight="1" x14ac:dyDescent="0.2">
      <c r="A65" s="53">
        <v>33</v>
      </c>
      <c r="B65" s="54" t="s">
        <v>217</v>
      </c>
      <c r="C65" s="55" t="s">
        <v>345</v>
      </c>
      <c r="D65" s="53">
        <v>2</v>
      </c>
      <c r="E65" s="56">
        <v>1025.31</v>
      </c>
      <c r="F65" s="56"/>
      <c r="G65" s="56"/>
      <c r="H65" s="57" t="s">
        <v>201</v>
      </c>
      <c r="I65" s="58">
        <v>7855</v>
      </c>
      <c r="J65" s="56"/>
      <c r="K65" s="56"/>
      <c r="L65" s="56" t="s">
        <v>327</v>
      </c>
      <c r="M65" s="56"/>
      <c r="N65" s="56"/>
    </row>
    <row r="66" spans="1:14" x14ac:dyDescent="0.2">
      <c r="A66" s="69" t="s">
        <v>135</v>
      </c>
      <c r="B66" s="68"/>
      <c r="C66" s="68"/>
      <c r="D66" s="68"/>
      <c r="E66" s="68"/>
      <c r="F66" s="68"/>
      <c r="G66" s="68"/>
      <c r="H66" s="68"/>
      <c r="I66" s="49">
        <v>6355</v>
      </c>
      <c r="J66" s="47"/>
      <c r="K66" s="47"/>
      <c r="L66" s="47"/>
      <c r="M66" s="47"/>
      <c r="N66" s="47"/>
    </row>
    <row r="67" spans="1:14" x14ac:dyDescent="0.2">
      <c r="A67" s="69" t="s">
        <v>138</v>
      </c>
      <c r="B67" s="68"/>
      <c r="C67" s="68"/>
      <c r="D67" s="68"/>
      <c r="E67" s="68"/>
      <c r="F67" s="68"/>
      <c r="G67" s="68"/>
      <c r="H67" s="68"/>
      <c r="I67" s="49">
        <v>24340</v>
      </c>
      <c r="J67" s="47"/>
      <c r="K67" s="47"/>
      <c r="L67" s="47"/>
      <c r="M67" s="47"/>
      <c r="N67" s="47"/>
    </row>
    <row r="68" spans="1:14" x14ac:dyDescent="0.2">
      <c r="A68" s="70" t="s">
        <v>219</v>
      </c>
      <c r="B68" s="71"/>
      <c r="C68" s="71"/>
      <c r="D68" s="71"/>
      <c r="E68" s="71"/>
      <c r="F68" s="71"/>
      <c r="G68" s="71"/>
      <c r="H68" s="71"/>
      <c r="I68" s="58">
        <v>24340</v>
      </c>
      <c r="J68" s="56"/>
      <c r="K68" s="56"/>
      <c r="L68" s="56"/>
      <c r="M68" s="56"/>
      <c r="N68" s="56"/>
    </row>
    <row r="69" spans="1:14" ht="21" customHeight="1" x14ac:dyDescent="0.2">
      <c r="A69" s="72" t="s">
        <v>220</v>
      </c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</row>
    <row r="70" spans="1:14" ht="63.75" x14ac:dyDescent="0.2">
      <c r="A70" s="44">
        <v>34</v>
      </c>
      <c r="B70" s="45" t="s">
        <v>221</v>
      </c>
      <c r="C70" s="46" t="s">
        <v>346</v>
      </c>
      <c r="D70" s="44">
        <v>0.03</v>
      </c>
      <c r="E70" s="47">
        <v>985</v>
      </c>
      <c r="F70" s="47"/>
      <c r="G70" s="47">
        <v>985</v>
      </c>
      <c r="H70" s="61" t="s">
        <v>222</v>
      </c>
      <c r="I70" s="49">
        <v>344</v>
      </c>
      <c r="J70" s="47"/>
      <c r="K70" s="47"/>
      <c r="L70" s="47" t="s">
        <v>347</v>
      </c>
      <c r="M70" s="47"/>
      <c r="N70" s="47"/>
    </row>
    <row r="71" spans="1:14" ht="127.5" customHeight="1" x14ac:dyDescent="0.2">
      <c r="A71" s="44">
        <v>35</v>
      </c>
      <c r="B71" s="45" t="s">
        <v>225</v>
      </c>
      <c r="C71" s="46" t="s">
        <v>348</v>
      </c>
      <c r="D71" s="44">
        <v>0.04</v>
      </c>
      <c r="E71" s="47">
        <v>69309.47</v>
      </c>
      <c r="F71" s="47"/>
      <c r="G71" s="47">
        <v>69309.47</v>
      </c>
      <c r="H71" s="61" t="s">
        <v>226</v>
      </c>
      <c r="I71" s="49">
        <v>19956</v>
      </c>
      <c r="J71" s="47"/>
      <c r="K71" s="47"/>
      <c r="L71" s="47" t="s">
        <v>349</v>
      </c>
      <c r="M71" s="47"/>
      <c r="N71" s="47"/>
    </row>
    <row r="72" spans="1:14" ht="63.75" x14ac:dyDescent="0.2">
      <c r="A72" s="44">
        <v>36</v>
      </c>
      <c r="B72" s="45" t="s">
        <v>229</v>
      </c>
      <c r="C72" s="46" t="s">
        <v>350</v>
      </c>
      <c r="D72" s="44">
        <v>270</v>
      </c>
      <c r="E72" s="47">
        <v>65.31</v>
      </c>
      <c r="F72" s="47"/>
      <c r="G72" s="47">
        <v>65.31</v>
      </c>
      <c r="H72" s="61" t="s">
        <v>230</v>
      </c>
      <c r="I72" s="49">
        <v>98398</v>
      </c>
      <c r="J72" s="47"/>
      <c r="K72" s="47"/>
      <c r="L72" s="47" t="s">
        <v>351</v>
      </c>
      <c r="M72" s="47"/>
      <c r="N72" s="47"/>
    </row>
    <row r="73" spans="1:14" ht="63.75" x14ac:dyDescent="0.2">
      <c r="A73" s="44">
        <v>37</v>
      </c>
      <c r="B73" s="45" t="s">
        <v>233</v>
      </c>
      <c r="C73" s="46" t="s">
        <v>352</v>
      </c>
      <c r="D73" s="44">
        <v>468</v>
      </c>
      <c r="E73" s="47">
        <v>22.6</v>
      </c>
      <c r="F73" s="47"/>
      <c r="G73" s="47">
        <v>22.6</v>
      </c>
      <c r="H73" s="61" t="s">
        <v>230</v>
      </c>
      <c r="I73" s="49">
        <v>59020</v>
      </c>
      <c r="J73" s="47"/>
      <c r="K73" s="47"/>
      <c r="L73" s="47" t="s">
        <v>353</v>
      </c>
      <c r="M73" s="47"/>
      <c r="N73" s="47"/>
    </row>
    <row r="74" spans="1:14" ht="127.5" customHeight="1" x14ac:dyDescent="0.2">
      <c r="A74" s="44">
        <v>38</v>
      </c>
      <c r="B74" s="45" t="s">
        <v>235</v>
      </c>
      <c r="C74" s="46" t="s">
        <v>354</v>
      </c>
      <c r="D74" s="44">
        <v>0.21</v>
      </c>
      <c r="E74" s="47">
        <v>18047.849999999999</v>
      </c>
      <c r="F74" s="47"/>
      <c r="G74" s="47">
        <v>18047.849999999999</v>
      </c>
      <c r="H74" s="61" t="s">
        <v>236</v>
      </c>
      <c r="I74" s="49">
        <v>30297</v>
      </c>
      <c r="J74" s="47"/>
      <c r="K74" s="47"/>
      <c r="L74" s="47" t="s">
        <v>355</v>
      </c>
      <c r="M74" s="47"/>
      <c r="N74" s="47"/>
    </row>
    <row r="75" spans="1:14" ht="127.5" x14ac:dyDescent="0.2">
      <c r="A75" s="44">
        <v>39</v>
      </c>
      <c r="B75" s="45" t="s">
        <v>238</v>
      </c>
      <c r="C75" s="46" t="s">
        <v>356</v>
      </c>
      <c r="D75" s="44">
        <v>0.2</v>
      </c>
      <c r="E75" s="47">
        <v>6920.41</v>
      </c>
      <c r="F75" s="47"/>
      <c r="G75" s="47">
        <v>6920.41</v>
      </c>
      <c r="H75" s="61" t="s">
        <v>239</v>
      </c>
      <c r="I75" s="49">
        <v>11655</v>
      </c>
      <c r="J75" s="47"/>
      <c r="K75" s="47"/>
      <c r="L75" s="47" t="s">
        <v>357</v>
      </c>
      <c r="M75" s="47"/>
      <c r="N75" s="47"/>
    </row>
    <row r="76" spans="1:14" ht="127.5" x14ac:dyDescent="0.2">
      <c r="A76" s="44">
        <v>40</v>
      </c>
      <c r="B76" s="45" t="s">
        <v>241</v>
      </c>
      <c r="C76" s="46" t="s">
        <v>358</v>
      </c>
      <c r="D76" s="44">
        <v>0.1</v>
      </c>
      <c r="E76" s="47">
        <v>4832.12</v>
      </c>
      <c r="F76" s="47"/>
      <c r="G76" s="47">
        <v>4832.12</v>
      </c>
      <c r="H76" s="61" t="s">
        <v>242</v>
      </c>
      <c r="I76" s="49">
        <v>4030</v>
      </c>
      <c r="J76" s="47"/>
      <c r="K76" s="47"/>
      <c r="L76" s="47" t="s">
        <v>359</v>
      </c>
      <c r="M76" s="47"/>
      <c r="N76" s="47"/>
    </row>
    <row r="77" spans="1:14" ht="76.5" x14ac:dyDescent="0.2">
      <c r="A77" s="44">
        <v>41</v>
      </c>
      <c r="B77" s="45" t="s">
        <v>244</v>
      </c>
      <c r="C77" s="46" t="s">
        <v>360</v>
      </c>
      <c r="D77" s="44">
        <v>0.03</v>
      </c>
      <c r="E77" s="47">
        <v>963.6</v>
      </c>
      <c r="F77" s="47"/>
      <c r="G77" s="47">
        <v>963.6</v>
      </c>
      <c r="H77" s="61" t="s">
        <v>245</v>
      </c>
      <c r="I77" s="49">
        <v>160</v>
      </c>
      <c r="J77" s="47"/>
      <c r="K77" s="47"/>
      <c r="L77" s="47" t="s">
        <v>361</v>
      </c>
      <c r="M77" s="47"/>
      <c r="N77" s="47"/>
    </row>
    <row r="78" spans="1:14" ht="76.5" x14ac:dyDescent="0.2">
      <c r="A78" s="44">
        <v>42</v>
      </c>
      <c r="B78" s="45" t="s">
        <v>247</v>
      </c>
      <c r="C78" s="46" t="s">
        <v>362</v>
      </c>
      <c r="D78" s="44">
        <v>1.2E-2</v>
      </c>
      <c r="E78" s="47">
        <v>4645.43</v>
      </c>
      <c r="F78" s="47"/>
      <c r="G78" s="47">
        <v>4645.43</v>
      </c>
      <c r="H78" s="61" t="s">
        <v>248</v>
      </c>
      <c r="I78" s="49">
        <v>348</v>
      </c>
      <c r="J78" s="47"/>
      <c r="K78" s="47"/>
      <c r="L78" s="47" t="s">
        <v>363</v>
      </c>
      <c r="M78" s="47"/>
      <c r="N78" s="47"/>
    </row>
    <row r="79" spans="1:14" ht="51" x14ac:dyDescent="0.2">
      <c r="A79" s="44">
        <v>43</v>
      </c>
      <c r="B79" s="45" t="s">
        <v>250</v>
      </c>
      <c r="C79" s="46" t="s">
        <v>364</v>
      </c>
      <c r="D79" s="44">
        <v>10</v>
      </c>
      <c r="E79" s="47">
        <v>39.49</v>
      </c>
      <c r="F79" s="47"/>
      <c r="G79" s="47">
        <v>39.49</v>
      </c>
      <c r="H79" s="61" t="s">
        <v>230</v>
      </c>
      <c r="I79" s="49">
        <v>2204</v>
      </c>
      <c r="J79" s="47"/>
      <c r="K79" s="47"/>
      <c r="L79" s="47" t="s">
        <v>365</v>
      </c>
      <c r="M79" s="47"/>
      <c r="N79" s="47"/>
    </row>
    <row r="80" spans="1:14" ht="63.75" x14ac:dyDescent="0.2">
      <c r="A80" s="44">
        <v>44</v>
      </c>
      <c r="B80" s="45" t="s">
        <v>252</v>
      </c>
      <c r="C80" s="46" t="s">
        <v>366</v>
      </c>
      <c r="D80" s="44">
        <v>10</v>
      </c>
      <c r="E80" s="47">
        <v>65.12</v>
      </c>
      <c r="F80" s="47"/>
      <c r="G80" s="47">
        <v>65.12</v>
      </c>
      <c r="H80" s="61" t="s">
        <v>230</v>
      </c>
      <c r="I80" s="49">
        <v>3633</v>
      </c>
      <c r="J80" s="47"/>
      <c r="K80" s="47"/>
      <c r="L80" s="47" t="s">
        <v>367</v>
      </c>
      <c r="M80" s="47"/>
      <c r="N80" s="47"/>
    </row>
    <row r="81" spans="1:14" ht="89.25" x14ac:dyDescent="0.2">
      <c r="A81" s="44">
        <v>45</v>
      </c>
      <c r="B81" s="45" t="s">
        <v>254</v>
      </c>
      <c r="C81" s="46" t="s">
        <v>368</v>
      </c>
      <c r="D81" s="44">
        <v>350</v>
      </c>
      <c r="E81" s="47">
        <v>18.829999999999998</v>
      </c>
      <c r="F81" s="47"/>
      <c r="G81" s="47">
        <v>18.829999999999998</v>
      </c>
      <c r="H81" s="61" t="s">
        <v>255</v>
      </c>
      <c r="I81" s="49">
        <v>37701</v>
      </c>
      <c r="J81" s="47"/>
      <c r="K81" s="47"/>
      <c r="L81" s="47" t="s">
        <v>369</v>
      </c>
      <c r="M81" s="47"/>
      <c r="N81" s="47"/>
    </row>
    <row r="82" spans="1:14" ht="76.5" x14ac:dyDescent="0.2">
      <c r="A82" s="44">
        <v>46</v>
      </c>
      <c r="B82" s="45" t="s">
        <v>257</v>
      </c>
      <c r="C82" s="46" t="s">
        <v>370</v>
      </c>
      <c r="D82" s="44">
        <v>40</v>
      </c>
      <c r="E82" s="47">
        <v>3.46</v>
      </c>
      <c r="F82" s="47"/>
      <c r="G82" s="47">
        <v>3.46</v>
      </c>
      <c r="H82" s="61" t="s">
        <v>258</v>
      </c>
      <c r="I82" s="49">
        <v>421</v>
      </c>
      <c r="J82" s="47"/>
      <c r="K82" s="47"/>
      <c r="L82" s="47" t="s">
        <v>371</v>
      </c>
      <c r="M82" s="47"/>
      <c r="N82" s="47"/>
    </row>
    <row r="83" spans="1:14" ht="63.75" x14ac:dyDescent="0.2">
      <c r="A83" s="44">
        <v>47</v>
      </c>
      <c r="B83" s="45" t="s">
        <v>260</v>
      </c>
      <c r="C83" s="46" t="s">
        <v>372</v>
      </c>
      <c r="D83" s="44">
        <v>8.3000000000000004E-2</v>
      </c>
      <c r="E83" s="47">
        <v>5230.01</v>
      </c>
      <c r="F83" s="47"/>
      <c r="G83" s="47">
        <v>5230.01</v>
      </c>
      <c r="H83" s="61" t="s">
        <v>261</v>
      </c>
      <c r="I83" s="49">
        <v>2405</v>
      </c>
      <c r="J83" s="47"/>
      <c r="K83" s="47"/>
      <c r="L83" s="47" t="s">
        <v>373</v>
      </c>
      <c r="M83" s="47"/>
      <c r="N83" s="47"/>
    </row>
    <row r="84" spans="1:14" ht="63.75" x14ac:dyDescent="0.2">
      <c r="A84" s="53">
        <v>48</v>
      </c>
      <c r="B84" s="54" t="s">
        <v>263</v>
      </c>
      <c r="C84" s="55" t="s">
        <v>374</v>
      </c>
      <c r="D84" s="53" t="s">
        <v>264</v>
      </c>
      <c r="E84" s="56">
        <v>5230.01</v>
      </c>
      <c r="F84" s="56"/>
      <c r="G84" s="56">
        <v>5230.01</v>
      </c>
      <c r="H84" s="57" t="s">
        <v>265</v>
      </c>
      <c r="I84" s="58">
        <v>12122</v>
      </c>
      <c r="J84" s="56"/>
      <c r="K84" s="56"/>
      <c r="L84" s="56" t="s">
        <v>375</v>
      </c>
      <c r="M84" s="56"/>
      <c r="N84" s="56"/>
    </row>
    <row r="85" spans="1:14" x14ac:dyDescent="0.2">
      <c r="A85" s="69" t="s">
        <v>135</v>
      </c>
      <c r="B85" s="68"/>
      <c r="C85" s="68"/>
      <c r="D85" s="68"/>
      <c r="E85" s="68"/>
      <c r="F85" s="68"/>
      <c r="G85" s="68"/>
      <c r="H85" s="68"/>
      <c r="I85" s="49">
        <v>47178</v>
      </c>
      <c r="J85" s="47"/>
      <c r="K85" s="47"/>
      <c r="L85" s="47">
        <v>47178</v>
      </c>
      <c r="M85" s="47"/>
      <c r="N85" s="47"/>
    </row>
    <row r="86" spans="1:14" x14ac:dyDescent="0.2">
      <c r="A86" s="69" t="s">
        <v>138</v>
      </c>
      <c r="B86" s="68"/>
      <c r="C86" s="68"/>
      <c r="D86" s="68"/>
      <c r="E86" s="68"/>
      <c r="F86" s="68"/>
      <c r="G86" s="68"/>
      <c r="H86" s="68"/>
      <c r="I86" s="49">
        <v>282693</v>
      </c>
      <c r="J86" s="47"/>
      <c r="K86" s="47"/>
      <c r="L86" s="47">
        <v>282693</v>
      </c>
      <c r="M86" s="47"/>
      <c r="N86" s="47"/>
    </row>
    <row r="87" spans="1:14" x14ac:dyDescent="0.2">
      <c r="A87" s="70" t="s">
        <v>267</v>
      </c>
      <c r="B87" s="71"/>
      <c r="C87" s="71"/>
      <c r="D87" s="71"/>
      <c r="E87" s="71"/>
      <c r="F87" s="71"/>
      <c r="G87" s="71"/>
      <c r="H87" s="71"/>
      <c r="I87" s="58">
        <v>282693</v>
      </c>
      <c r="J87" s="56"/>
      <c r="K87" s="56"/>
      <c r="L87" s="56"/>
      <c r="M87" s="56"/>
      <c r="N87" s="56"/>
    </row>
    <row r="88" spans="1:14" ht="25.5" x14ac:dyDescent="0.2">
      <c r="A88" s="67" t="s">
        <v>268</v>
      </c>
      <c r="B88" s="68"/>
      <c r="C88" s="68"/>
      <c r="D88" s="68"/>
      <c r="E88" s="68"/>
      <c r="F88" s="68"/>
      <c r="G88" s="68"/>
      <c r="H88" s="68"/>
      <c r="I88" s="60">
        <v>90160</v>
      </c>
      <c r="J88" s="60">
        <v>7392</v>
      </c>
      <c r="K88" s="60" t="s">
        <v>269</v>
      </c>
      <c r="L88" s="60">
        <v>72529</v>
      </c>
      <c r="M88" s="60"/>
      <c r="N88" s="60" t="s">
        <v>270</v>
      </c>
    </row>
    <row r="89" spans="1:14" ht="25.5" x14ac:dyDescent="0.2">
      <c r="A89" s="67" t="s">
        <v>271</v>
      </c>
      <c r="B89" s="68"/>
      <c r="C89" s="68"/>
      <c r="D89" s="68"/>
      <c r="E89" s="68"/>
      <c r="F89" s="68"/>
      <c r="G89" s="68"/>
      <c r="H89" s="68"/>
      <c r="I89" s="60">
        <v>631204</v>
      </c>
      <c r="J89" s="60">
        <v>121598</v>
      </c>
      <c r="K89" s="60" t="s">
        <v>272</v>
      </c>
      <c r="L89" s="60">
        <v>451912</v>
      </c>
      <c r="M89" s="60"/>
      <c r="N89" s="60" t="s">
        <v>270</v>
      </c>
    </row>
    <row r="90" spans="1:14" x14ac:dyDescent="0.2">
      <c r="A90" s="67" t="s">
        <v>140</v>
      </c>
      <c r="B90" s="68"/>
      <c r="C90" s="68"/>
      <c r="D90" s="68"/>
      <c r="E90" s="68"/>
      <c r="F90" s="68"/>
      <c r="G90" s="68"/>
      <c r="H90" s="68"/>
      <c r="I90" s="60">
        <v>104497</v>
      </c>
      <c r="J90" s="60"/>
      <c r="K90" s="60"/>
      <c r="L90" s="60"/>
      <c r="M90" s="60"/>
      <c r="N90" s="60"/>
    </row>
    <row r="91" spans="1:14" x14ac:dyDescent="0.2">
      <c r="A91" s="67" t="s">
        <v>141</v>
      </c>
      <c r="B91" s="68"/>
      <c r="C91" s="68"/>
      <c r="D91" s="68"/>
      <c r="E91" s="68"/>
      <c r="F91" s="68"/>
      <c r="G91" s="68"/>
      <c r="H91" s="68"/>
      <c r="I91" s="60">
        <v>61962</v>
      </c>
      <c r="J91" s="60"/>
      <c r="K91" s="60"/>
      <c r="L91" s="60"/>
      <c r="M91" s="60"/>
      <c r="N91" s="60"/>
    </row>
    <row r="92" spans="1:14" x14ac:dyDescent="0.2">
      <c r="A92" s="65" t="s">
        <v>273</v>
      </c>
      <c r="B92" s="66"/>
      <c r="C92" s="66"/>
      <c r="D92" s="66"/>
      <c r="E92" s="66"/>
      <c r="F92" s="66"/>
      <c r="G92" s="66"/>
      <c r="H92" s="66"/>
      <c r="I92" s="60"/>
      <c r="J92" s="60"/>
      <c r="K92" s="60"/>
      <c r="L92" s="60"/>
      <c r="M92" s="60"/>
      <c r="N92" s="60"/>
    </row>
    <row r="93" spans="1:14" ht="25.5" x14ac:dyDescent="0.2">
      <c r="A93" s="67" t="s">
        <v>274</v>
      </c>
      <c r="B93" s="68"/>
      <c r="C93" s="68"/>
      <c r="D93" s="68"/>
      <c r="E93" s="68"/>
      <c r="F93" s="68"/>
      <c r="G93" s="68"/>
      <c r="H93" s="68"/>
      <c r="I93" s="60">
        <v>237928</v>
      </c>
      <c r="J93" s="60"/>
      <c r="K93" s="60"/>
      <c r="L93" s="60"/>
      <c r="M93" s="60"/>
      <c r="N93" s="60" t="s">
        <v>196</v>
      </c>
    </row>
    <row r="94" spans="1:14" ht="25.5" x14ac:dyDescent="0.2">
      <c r="A94" s="67" t="s">
        <v>275</v>
      </c>
      <c r="B94" s="68"/>
      <c r="C94" s="68"/>
      <c r="D94" s="68"/>
      <c r="E94" s="68"/>
      <c r="F94" s="68"/>
      <c r="G94" s="68"/>
      <c r="H94" s="68"/>
      <c r="I94" s="60">
        <v>535395</v>
      </c>
      <c r="J94" s="60"/>
      <c r="K94" s="60"/>
      <c r="L94" s="60"/>
      <c r="M94" s="60"/>
      <c r="N94" s="60" t="s">
        <v>137</v>
      </c>
    </row>
    <row r="95" spans="1:14" x14ac:dyDescent="0.2">
      <c r="A95" s="67" t="s">
        <v>276</v>
      </c>
      <c r="B95" s="68"/>
      <c r="C95" s="68"/>
      <c r="D95" s="68"/>
      <c r="E95" s="68"/>
      <c r="F95" s="68"/>
      <c r="G95" s="68"/>
      <c r="H95" s="68"/>
      <c r="I95" s="60">
        <v>24340</v>
      </c>
      <c r="J95" s="60"/>
      <c r="K95" s="60"/>
      <c r="L95" s="60"/>
      <c r="M95" s="60"/>
      <c r="N95" s="60"/>
    </row>
    <row r="96" spans="1:14" ht="25.5" x14ac:dyDescent="0.2">
      <c r="A96" s="67" t="s">
        <v>277</v>
      </c>
      <c r="B96" s="68"/>
      <c r="C96" s="68"/>
      <c r="D96" s="68"/>
      <c r="E96" s="68"/>
      <c r="F96" s="68"/>
      <c r="G96" s="68"/>
      <c r="H96" s="68"/>
      <c r="I96" s="60">
        <v>797663</v>
      </c>
      <c r="J96" s="60"/>
      <c r="K96" s="60"/>
      <c r="L96" s="60"/>
      <c r="M96" s="60"/>
      <c r="N96" s="60" t="s">
        <v>270</v>
      </c>
    </row>
    <row r="97" spans="1:14" x14ac:dyDescent="0.2">
      <c r="A97" s="67" t="s">
        <v>278</v>
      </c>
      <c r="B97" s="68"/>
      <c r="C97" s="68"/>
      <c r="D97" s="68"/>
      <c r="E97" s="68"/>
      <c r="F97" s="68"/>
      <c r="G97" s="68"/>
      <c r="H97" s="68"/>
      <c r="I97" s="60"/>
      <c r="J97" s="60"/>
      <c r="K97" s="60"/>
      <c r="L97" s="60"/>
      <c r="M97" s="60"/>
      <c r="N97" s="60"/>
    </row>
    <row r="98" spans="1:14" x14ac:dyDescent="0.2">
      <c r="A98" s="67" t="s">
        <v>279</v>
      </c>
      <c r="B98" s="68"/>
      <c r="C98" s="68"/>
      <c r="D98" s="68"/>
      <c r="E98" s="68"/>
      <c r="F98" s="68"/>
      <c r="G98" s="68"/>
      <c r="H98" s="68"/>
      <c r="I98" s="60">
        <v>451912</v>
      </c>
      <c r="J98" s="60"/>
      <c r="K98" s="60"/>
      <c r="L98" s="60"/>
      <c r="M98" s="60"/>
      <c r="N98" s="60"/>
    </row>
    <row r="99" spans="1:14" x14ac:dyDescent="0.2">
      <c r="A99" s="67" t="s">
        <v>280</v>
      </c>
      <c r="B99" s="68"/>
      <c r="C99" s="68"/>
      <c r="D99" s="68"/>
      <c r="E99" s="68"/>
      <c r="F99" s="68"/>
      <c r="G99" s="68"/>
      <c r="H99" s="68"/>
      <c r="I99" s="60">
        <v>33356</v>
      </c>
      <c r="J99" s="60"/>
      <c r="K99" s="60"/>
      <c r="L99" s="60"/>
      <c r="M99" s="60"/>
      <c r="N99" s="60"/>
    </row>
    <row r="100" spans="1:14" x14ac:dyDescent="0.2">
      <c r="A100" s="67" t="s">
        <v>281</v>
      </c>
      <c r="B100" s="68"/>
      <c r="C100" s="68"/>
      <c r="D100" s="68"/>
      <c r="E100" s="68"/>
      <c r="F100" s="68"/>
      <c r="G100" s="68"/>
      <c r="H100" s="68"/>
      <c r="I100" s="60">
        <v>126220</v>
      </c>
      <c r="J100" s="60"/>
      <c r="K100" s="60"/>
      <c r="L100" s="60"/>
      <c r="M100" s="60"/>
      <c r="N100" s="60"/>
    </row>
    <row r="101" spans="1:14" x14ac:dyDescent="0.2">
      <c r="A101" s="67" t="s">
        <v>282</v>
      </c>
      <c r="B101" s="68"/>
      <c r="C101" s="68"/>
      <c r="D101" s="68"/>
      <c r="E101" s="68"/>
      <c r="F101" s="68"/>
      <c r="G101" s="68"/>
      <c r="H101" s="68"/>
      <c r="I101" s="60">
        <v>24340</v>
      </c>
      <c r="J101" s="60"/>
      <c r="K101" s="60"/>
      <c r="L101" s="60"/>
      <c r="M101" s="60"/>
      <c r="N101" s="60"/>
    </row>
    <row r="102" spans="1:14" x14ac:dyDescent="0.2">
      <c r="A102" s="67" t="s">
        <v>283</v>
      </c>
      <c r="B102" s="68"/>
      <c r="C102" s="68"/>
      <c r="D102" s="68"/>
      <c r="E102" s="68"/>
      <c r="F102" s="68"/>
      <c r="G102" s="68"/>
      <c r="H102" s="68"/>
      <c r="I102" s="60">
        <v>104497</v>
      </c>
      <c r="J102" s="60"/>
      <c r="K102" s="60"/>
      <c r="L102" s="60"/>
      <c r="M102" s="60"/>
      <c r="N102" s="60"/>
    </row>
    <row r="103" spans="1:14" x14ac:dyDescent="0.2">
      <c r="A103" s="67" t="s">
        <v>284</v>
      </c>
      <c r="B103" s="68"/>
      <c r="C103" s="68"/>
      <c r="D103" s="68"/>
      <c r="E103" s="68"/>
      <c r="F103" s="68"/>
      <c r="G103" s="68"/>
      <c r="H103" s="68"/>
      <c r="I103" s="60">
        <v>61962</v>
      </c>
      <c r="J103" s="60"/>
      <c r="K103" s="60"/>
      <c r="L103" s="60"/>
      <c r="M103" s="60"/>
      <c r="N103" s="60"/>
    </row>
    <row r="104" spans="1:14" ht="25.5" x14ac:dyDescent="0.2">
      <c r="A104" s="65" t="s">
        <v>379</v>
      </c>
      <c r="B104" s="66"/>
      <c r="C104" s="66"/>
      <c r="D104" s="66"/>
      <c r="E104" s="66"/>
      <c r="F104" s="66"/>
      <c r="G104" s="66"/>
      <c r="H104" s="66"/>
      <c r="I104" s="60">
        <v>797663</v>
      </c>
      <c r="J104" s="60"/>
      <c r="K104" s="60"/>
      <c r="L104" s="60"/>
      <c r="M104" s="60"/>
      <c r="N104" s="60" t="s">
        <v>270</v>
      </c>
    </row>
    <row r="105" spans="1:14" x14ac:dyDescent="0.2">
      <c r="A105" s="67" t="s">
        <v>381</v>
      </c>
      <c r="B105" s="68"/>
      <c r="C105" s="68"/>
      <c r="D105" s="68"/>
      <c r="E105" s="68"/>
      <c r="F105" s="68"/>
      <c r="G105" s="68"/>
      <c r="H105" s="68"/>
      <c r="I105" s="60">
        <v>15953</v>
      </c>
      <c r="J105" s="60"/>
      <c r="K105" s="60"/>
      <c r="L105" s="60"/>
      <c r="M105" s="60"/>
      <c r="N105" s="60"/>
    </row>
    <row r="106" spans="1:14" ht="12.75" customHeight="1" x14ac:dyDescent="0.2">
      <c r="A106" s="67" t="s">
        <v>380</v>
      </c>
      <c r="B106" s="68"/>
      <c r="C106" s="68"/>
      <c r="D106" s="68"/>
      <c r="E106" s="68"/>
      <c r="F106" s="68"/>
      <c r="G106" s="68"/>
      <c r="H106" s="68"/>
      <c r="I106" s="60">
        <v>813616</v>
      </c>
      <c r="J106" s="60"/>
      <c r="K106" s="60"/>
      <c r="L106" s="60"/>
      <c r="M106" s="60"/>
      <c r="N106" s="60"/>
    </row>
    <row r="107" spans="1:14" x14ac:dyDescent="0.2">
      <c r="A107" s="67" t="s">
        <v>382</v>
      </c>
      <c r="B107" s="68"/>
      <c r="C107" s="68"/>
      <c r="D107" s="68"/>
      <c r="E107" s="68"/>
      <c r="F107" s="68"/>
      <c r="G107" s="68"/>
      <c r="H107" s="68"/>
      <c r="I107" s="60">
        <v>146450.88</v>
      </c>
      <c r="J107" s="60"/>
      <c r="K107" s="60"/>
      <c r="L107" s="60"/>
      <c r="M107" s="60"/>
      <c r="N107" s="60"/>
    </row>
    <row r="108" spans="1:14" x14ac:dyDescent="0.2">
      <c r="A108" s="67" t="s">
        <v>383</v>
      </c>
      <c r="B108" s="68"/>
      <c r="C108" s="68"/>
      <c r="D108" s="68"/>
      <c r="E108" s="68"/>
      <c r="F108" s="68"/>
      <c r="G108" s="68"/>
      <c r="H108" s="68"/>
      <c r="I108" s="60">
        <v>960066.88</v>
      </c>
      <c r="J108" s="60"/>
      <c r="K108" s="60"/>
      <c r="L108" s="60"/>
      <c r="M108" s="60"/>
      <c r="N108" s="60"/>
    </row>
    <row r="109" spans="1:14" x14ac:dyDescent="0.2">
      <c r="A109" s="62"/>
      <c r="B109" s="63"/>
      <c r="C109" s="63"/>
      <c r="D109" s="63"/>
      <c r="E109" s="63"/>
      <c r="F109" s="63"/>
      <c r="G109" s="63"/>
      <c r="H109" s="63"/>
      <c r="I109" s="64"/>
      <c r="J109" s="64"/>
      <c r="K109" s="64"/>
      <c r="L109" s="64"/>
      <c r="M109" s="64"/>
      <c r="N109" s="64"/>
    </row>
    <row r="110" spans="1:14" x14ac:dyDescent="0.2">
      <c r="A110" s="17"/>
      <c r="B110" s="37"/>
      <c r="C110" s="37"/>
      <c r="D110" s="17"/>
      <c r="E110" s="34"/>
      <c r="F110" s="34"/>
      <c r="G110" s="34"/>
      <c r="H110" s="34"/>
      <c r="I110" s="38"/>
      <c r="J110" s="34"/>
      <c r="K110" s="34"/>
      <c r="L110" s="34"/>
      <c r="M110" s="34"/>
    </row>
    <row r="111" spans="1:14" x14ac:dyDescent="0.2">
      <c r="A111" s="17"/>
      <c r="B111" s="37"/>
      <c r="C111" s="37"/>
      <c r="D111" s="17"/>
      <c r="E111" s="34"/>
      <c r="F111" s="34"/>
      <c r="G111" s="34"/>
      <c r="H111" s="34"/>
      <c r="I111" s="38"/>
      <c r="J111" s="34"/>
      <c r="K111" s="34"/>
      <c r="L111" s="34"/>
      <c r="M111" s="34"/>
    </row>
    <row r="112" spans="1:14" x14ac:dyDescent="0.2">
      <c r="A112" s="17"/>
      <c r="B112" s="37"/>
      <c r="C112" s="39" t="s">
        <v>378</v>
      </c>
      <c r="D112" s="17"/>
      <c r="E112" s="34"/>
      <c r="F112" s="39" t="s">
        <v>28</v>
      </c>
      <c r="G112" s="39"/>
      <c r="H112" s="39"/>
      <c r="I112" s="34"/>
      <c r="J112" s="34"/>
      <c r="K112" s="34"/>
      <c r="L112" s="34"/>
      <c r="M112" s="34"/>
    </row>
  </sheetData>
  <mergeCells count="61">
    <mergeCell ref="E15:G16"/>
    <mergeCell ref="H15:H18"/>
    <mergeCell ref="A20:N20"/>
    <mergeCell ref="D12:E12"/>
    <mergeCell ref="B1:M1"/>
    <mergeCell ref="A4:C4"/>
    <mergeCell ref="I4:N4"/>
    <mergeCell ref="A10:N10"/>
    <mergeCell ref="C11:E11"/>
    <mergeCell ref="A67:H67"/>
    <mergeCell ref="A68:H68"/>
    <mergeCell ref="A69:N69"/>
    <mergeCell ref="A43:H43"/>
    <mergeCell ref="I15:L16"/>
    <mergeCell ref="M15:N16"/>
    <mergeCell ref="G17:G18"/>
    <mergeCell ref="I17:I18"/>
    <mergeCell ref="J17:J18"/>
    <mergeCell ref="L17:L18"/>
    <mergeCell ref="M17:M18"/>
    <mergeCell ref="N17:N18"/>
    <mergeCell ref="A15:A18"/>
    <mergeCell ref="B15:B18"/>
    <mergeCell ref="C15:C18"/>
    <mergeCell ref="D15:D18"/>
    <mergeCell ref="A98:H98"/>
    <mergeCell ref="A99:H99"/>
    <mergeCell ref="A100:H100"/>
    <mergeCell ref="A39:H39"/>
    <mergeCell ref="A40:H40"/>
    <mergeCell ref="A41:H41"/>
    <mergeCell ref="A42:H42"/>
    <mergeCell ref="A85:H85"/>
    <mergeCell ref="A44:N44"/>
    <mergeCell ref="A52:H52"/>
    <mergeCell ref="A53:H53"/>
    <mergeCell ref="A54:H54"/>
    <mergeCell ref="A55:H55"/>
    <mergeCell ref="A56:H56"/>
    <mergeCell ref="A57:N57"/>
    <mergeCell ref="A66:H66"/>
    <mergeCell ref="A97:H97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108:H108"/>
    <mergeCell ref="A104:H104"/>
    <mergeCell ref="A101:H101"/>
    <mergeCell ref="A102:H102"/>
    <mergeCell ref="A105:H105"/>
    <mergeCell ref="A106:H106"/>
    <mergeCell ref="A107:H107"/>
    <mergeCell ref="A103:H10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Лок.См.Расч.Баз.-Инд.Методом</vt:lpstr>
      <vt:lpstr>Лист1</vt:lpstr>
      <vt:lpstr>'Лок.См.Расч.Баз.-Инд.Методом'!Заголовки_для_печати</vt:lpstr>
      <vt:lpstr>'Лок.См.Расч.Баз.-Инд.Методом'!Область_печати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</dc:creator>
  <cp:lastModifiedBy>Власкина Юлия Викторовна</cp:lastModifiedBy>
  <cp:lastPrinted>2015-08-06T08:42:10Z</cp:lastPrinted>
  <dcterms:created xsi:type="dcterms:W3CDTF">2003-01-28T12:33:10Z</dcterms:created>
  <dcterms:modified xsi:type="dcterms:W3CDTF">2015-08-14T06:09:35Z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