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------------------------------------------
&lt;Примечание&gt;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56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56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23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23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23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23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ценах&gt;
&lt;ЗПМ по позиции на единицу в базисных ценах&gt;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ценах&gt;&lt;Оборудование на единицу в базисных ценах&gt;
&lt;Формула базисной цены единицы&gt;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23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23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<sst xmlns="http://schemas.openxmlformats.org/spreadsheetml/2006/main" count="831" uniqueCount="597">
  <si>
    <t xml:space="preserve">Утепление покрытий плитами: на каждый последующий слой добавлять к расценке 12-01-013-03, 100 м2 утепляемого покрытия
(МАТ=0 к расх.;
 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</si>
  <si>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4418,66
335,32</t>
  </si>
  <si>
    <t>126,55
7,43</t>
  </si>
  <si>
    <t xml:space="preserve">3956,79 
 </t>
  </si>
  <si>
    <t>12686
1365</t>
  </si>
  <si>
    <t>81,098
1,375</t>
  </si>
  <si>
    <t>360,89
6,12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</si>
  <si>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</si>
  <si>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3868,28/5,58, м3
 </t>
  </si>
  <si>
    <t xml:space="preserve">693,24 
 </t>
  </si>
  <si>
    <t xml:space="preserve">Утепление покрытий плитами: на каждый последующий слой добавлять к расценке 12-01-013-03,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</si>
  <si>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1424
148</t>
  </si>
  <si>
    <t>40,549
0,6875</t>
  </si>
  <si>
    <t>40,55
0,69</t>
  </si>
  <si>
    <t>5,15
5*1,03</t>
  </si>
  <si>
    <t>ФССЦ-101-7194
-------------------------
Приказ Минстроя России от 12.11.14 №703/пр</t>
  </si>
  <si>
    <t xml:space="preserve">ИЗОСПАН: А, 10 м2
 </t>
  </si>
  <si>
    <t xml:space="preserve">39,2 
 </t>
  </si>
  <si>
    <t>ТССЦ-104-9221-900019,43/39,2/10м2 =4,96; МАТ=4,96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</si>
  <si>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</si>
  <si>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154
33</t>
  </si>
  <si>
    <t>139,9205
12,1125</t>
  </si>
  <si>
    <t>1,4
0,12</t>
  </si>
  <si>
    <t>ФССЦ-203-0238
-------------------------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</si>
  <si>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</si>
  <si>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484 
 </t>
  </si>
  <si>
    <t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МАТ=8,263</t>
  </si>
  <si>
    <t>ФССЦ-203-0236
-------------------------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</si>
  <si>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</si>
  <si>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546,92 
 </t>
  </si>
  <si>
    <t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МАТ=7,063</t>
  </si>
  <si>
    <t>ФЕР10-01-023-01
-------------------------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</si>
  <si>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</si>
  <si>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1051,44
31,84</t>
  </si>
  <si>
    <t>12,45
1,08</t>
  </si>
  <si>
    <t xml:space="preserve">1007,15 
 </t>
  </si>
  <si>
    <t>10.54. Укладка ходовых досок: ОЗП=16,45; ЭМ=10,88; ЗПМ=16,45; МАТ=5,34</t>
  </si>
  <si>
    <t>196
33</t>
  </si>
  <si>
    <t>4,37
0,1</t>
  </si>
  <si>
    <t>5,07
0,12</t>
  </si>
  <si>
    <t>ФЕР26-02-018-01
-------------------------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</si>
  <si>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</si>
  <si>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239,35
122,77</t>
  </si>
  <si>
    <t>114,74
1,62</t>
  </si>
  <si>
    <t xml:space="preserve">1,84 
 </t>
  </si>
  <si>
    <t>26.104 Огнебиозащитное покрытие деревянных конструкций составами 'Пирилакс' (любой модификации): ОЗП=16,45; ЭМ=11,16; ЗПМ=16,45; МАТ=19,16</t>
  </si>
  <si>
    <t>22175
461</t>
  </si>
  <si>
    <t>14,8465
0,175</t>
  </si>
  <si>
    <t>205,62
2,42</t>
  </si>
  <si>
    <t>ФССЦ-113-8072
-------------------------
Приказ Минстроя России от 12.11.14 №703/пр</t>
  </si>
  <si>
    <t xml:space="preserve">Антисептик-антипирен «ПИРИЛАКС-ЛЮКС» для древесины 226,68/18,53=12,23, кг
 </t>
  </si>
  <si>
    <t xml:space="preserve">18,53 
 </t>
  </si>
  <si>
    <t>; МАТ=12,23</t>
  </si>
  <si>
    <t>4373
165</t>
  </si>
  <si>
    <t>892,91
12,53</t>
  </si>
  <si>
    <t>43871
2714</t>
  </si>
  <si>
    <t>Итоги по разделу 4 Перекрытия :</t>
  </si>
  <si>
    <t>634,49
9,87</t>
  </si>
  <si>
    <t>6,47
0,24</t>
  </si>
  <si>
    <t xml:space="preserve">  Итого по разделу 4 Перекрытия</t>
  </si>
  <si>
    <t xml:space="preserve">                           Раздел 5. Фановые трубы</t>
  </si>
  <si>
    <t>ФЕР16-04-001-02
-------------------------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</si>
  <si>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</si>
  <si>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7784,49
611,07</t>
  </si>
  <si>
    <t>6,58
0,68</t>
  </si>
  <si>
    <t xml:space="preserve">7166,84 
 </t>
  </si>
  <si>
    <t>16.103 Прокладка трубопроводов канализации из полиэтиленовых труб высокой плотности диаметром: 100 мм: ОЗП=16,45; ЭМ=11,41; ЗПМ=16,45; МАТ=3,14</t>
  </si>
  <si>
    <t>70,84
0,0625</t>
  </si>
  <si>
    <t>12,75
0,01</t>
  </si>
  <si>
    <t>ФЕР26-01-009-01
-------------------------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</si>
  <si>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</si>
  <si>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1562,09
183,98</t>
  </si>
  <si>
    <t xml:space="preserve">1320,96 
 </t>
  </si>
  <si>
    <t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</t>
  </si>
  <si>
    <t>ФССЦ-104-0009
-------------------------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</si>
  <si>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</si>
  <si>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542,4 
 </t>
  </si>
  <si>
    <t>Маты прошивные из минеральной ваты:без обкладок М-100, толщина 60 мм; МАТ=3,423</t>
  </si>
  <si>
    <t>ФССЦ-104-1240
-------------------------
Приказ Минстроя России от 12.11.14 №703/пр</t>
  </si>
  <si>
    <t xml:space="preserve">Вата минеральная «ISOVER»: Каркас-П34-100, м3
 </t>
  </si>
  <si>
    <t xml:space="preserve">386,81 
 </t>
  </si>
  <si>
    <t>Вата минеральная «ISOVER» Каркас-П34-100; МАТ=4,573</t>
  </si>
  <si>
    <t>26.71 Обертывание поверхности изоляции рулонными материалами насухо с проклейкой швов: ОЗП=10,91; ЭМ=7,96; ЗПМ=10,91; МАТ=8,47</t>
  </si>
  <si>
    <t>38,86
0,01</t>
  </si>
  <si>
    <t>Итоги по разделу 5 Фановые трубы :</t>
  </si>
  <si>
    <t xml:space="preserve">  Итого по разделу 5 Фановые трубы</t>
  </si>
  <si>
    <t>Итого прямые затраты по смете в ценах 2001г.</t>
  </si>
  <si>
    <t>12267
615</t>
  </si>
  <si>
    <t>3534,76
48,48</t>
  </si>
  <si>
    <t>Итого прямые затраты по смете с учетом индексов, в текущих ценах</t>
  </si>
  <si>
    <t>120874
10114</t>
  </si>
  <si>
    <t>Итоги по смете:</t>
  </si>
  <si>
    <t>1204,54
27,38</t>
  </si>
  <si>
    <t>815,84
3,05</t>
  </si>
  <si>
    <t>73,32
4,95</t>
  </si>
  <si>
    <t>331
2,32</t>
  </si>
  <si>
    <t>372,03
2,46</t>
  </si>
  <si>
    <t>Капитальный ремонт многоквартирного дома, расположенного по адресу: г.Томск, ул.Калужская,17/1</t>
  </si>
  <si>
    <t>на  Переустройство невентилируемой крыши на вентилируемую крышу</t>
  </si>
  <si>
    <t>Основание:  КР</t>
  </si>
  <si>
    <t>Составлен(а) в текущих ценах по состоянию на 2 кв. 2015года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</si>
  <si>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</si>
  <si>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</si>
  <si>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</si>
  <si>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</si>
  <si>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</si>
  <si>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</si>
  <si>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</si>
  <si>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</si>
  <si>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</si>
  <si>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</si>
  <si>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</si>
  <si>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</si>
  <si>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</si>
  <si>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</si>
  <si>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</si>
  <si>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</si>
  <si>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</si>
  <si>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</si>
  <si>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</si>
  <si>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</si>
  <si>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</si>
  <si>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</si>
  <si>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</si>
  <si>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</si>
  <si>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материалы (оборуд.)</t>
  </si>
  <si>
    <t>ЛОКАЛЬНЫЙ СМЕТНЫЙ РАСЧЕТ №  02-01-01</t>
  </si>
  <si>
    <t>Проверил:____________________________</t>
  </si>
  <si>
    <t xml:space="preserve">                           Раздел 1. Демонтажные работы</t>
  </si>
  <si>
    <t>ФЕР46-04-008-01
-------------------------
Приказ Минстроя РФ от 30.01.14 №31/пр</t>
  </si>
  <si>
    <t xml:space="preserve">Разборка покрытий кровель: из рулонных материалов, 100 м2 покрытия
НР 84%=110%*(0.9*0.85) от ФОТ
СП 48%=70%*(0.85*0.8) от ФОТ
 </t>
  </si>
  <si>
    <t>153,59
112,16</t>
  </si>
  <si>
    <t xml:space="preserve"> 
 </t>
  </si>
  <si>
    <t>46.70 Разборка покрытий кровель: ОЗП=16,45; ЭМ=2,99; ЗПМ=16,45</t>
  </si>
  <si>
    <t>ФЕР46-04-001-04
-------------------------
Приказ Минстроя РФ от 30.01.14 №31/пр</t>
  </si>
  <si>
    <t xml:space="preserve">Разборка: кирпичных стен, 1 м3
НР 84%=110%*(0.9*0.85) от ФОТ
СП 48%=70%*(0.85*0.8) от ФОТ
 </t>
  </si>
  <si>
    <t>180,03
73,01</t>
  </si>
  <si>
    <t>107,02
11,57</t>
  </si>
  <si>
    <t>46.59 Разборка: кирпичных и мелкоблочных стен: ОЗП=16,45; ЭМ=7,36; ЗПМ=16,45</t>
  </si>
  <si>
    <t>3305
806</t>
  </si>
  <si>
    <t>8,24
1,15</t>
  </si>
  <si>
    <t>34,61
4,83</t>
  </si>
  <si>
    <t>ФЕРр69-9-1
-------------------------
Приказ Минстроя РФ от 30.01.14 №31/пр</t>
  </si>
  <si>
    <t xml:space="preserve">Очистка помещений от строительного мусора, 100 т мусора
НР 66%=78%*0.85 от ФОТ
СП 40%=50%*0.8 от ФОТ
 </t>
  </si>
  <si>
    <t>0,837
139,5*0,6/100</t>
  </si>
  <si>
    <t>1553,82
1553,82</t>
  </si>
  <si>
    <t>94.16 Очистка помещений от строительного мусора: ОЗП=16,45</t>
  </si>
  <si>
    <t>ФЕРр69-15-1
-------------------------
Приказ Минстроя РФ от 30.01.14 №31/пр</t>
  </si>
  <si>
    <t xml:space="preserve">Затаривание строительного мусора в мешки, 1 т
НР 66%=78%*0.85 от ФОТ
СП 40%=50%*0.8 от ФОТ
 </t>
  </si>
  <si>
    <t>23,81
7,41</t>
  </si>
  <si>
    <t xml:space="preserve">16,4 
 </t>
  </si>
  <si>
    <t>94.26 Затаривание строительного мусора в мешки: ОЗП=16,45; МАТ=7,38</t>
  </si>
  <si>
    <t>ФЕР12-01-017-01
-------------------------
Приказ Минстроя России от 12.11.14 №703/пр</t>
  </si>
  <si>
    <t xml:space="preserve">Демонтаж  выравнивающих стяжек: цементно-песчаных толщиной 15 мм, 100 м2 стяжки
(ПЗ=0,5 (ОЗП=0,5; ЭМ=0,5 к расх.; ЗПМ=0,5; МАТ=0 к расх.; ТЗ=0,5; ТЗМ=0,5))
НР 92%=120%*(0.9*0.85) от ФОТ
СП 44%=65%*(0.85*0.8) от ФОТ
 </t>
  </si>
  <si>
    <t>1257,63
235,18</t>
  </si>
  <si>
    <t>190,48
21,86</t>
  </si>
  <si>
    <t xml:space="preserve">831,97 
 </t>
  </si>
  <si>
    <t>12.43. Устройство выравнивающих стяжек: цементно-песчаных: ОЗП=16,45; ЭМ=8,59; ЗПМ=16,45; МАТ=5,67</t>
  </si>
  <si>
    <t>3805
839</t>
  </si>
  <si>
    <t>13,61
0,97</t>
  </si>
  <si>
    <t>63,29
4,51</t>
  </si>
  <si>
    <t>ФЕР12-01-017-02
-------------------------
Приказ Минстроя России от 12.11.14 №703/пр</t>
  </si>
  <si>
    <t xml:space="preserve">Демонтаж  выравнивающих стяжек: на каждый 1 мм изменения толщины добавлять или исключать к расценке 12-01-017-01, 100 м2 стяжки
(ПЗ=65 (ОЗП=65; ЭМ=65 к расх.; ЗПМ=65; МАТ=65 к расх.; ТЗ=65; ТЗМ=65);
 ПЗ=0,5 (ОЗП=0,5; ЭМ=0,5 к расх.; ЗПМ=0,5; МАТ=0 к расх.; ТЗ=0,5; ТЗМ=0,5))
НР 92%=120%*(0.9*0.85) от ФОТ
СП 44%=65%*(0.85*0.8) от ФОТ
 </t>
  </si>
  <si>
    <t>64,32
8,64</t>
  </si>
  <si>
    <t>2,66
0,34</t>
  </si>
  <si>
    <t xml:space="preserve">53,02 
 </t>
  </si>
  <si>
    <t>3453
839</t>
  </si>
  <si>
    <t>32,5
0,975</t>
  </si>
  <si>
    <t>151,13
4,53</t>
  </si>
  <si>
    <t>ФЕР10-01-039-05
-------------------------
Приказ Минстроя России от 12.11.14 №703/пр</t>
  </si>
  <si>
    <t xml:space="preserve">демонтаж люков в перекрытиях, площадь проема до 2 м2, 100 м2 проемов
(ПЗ=0,8 (ОЗП=0,8; ЭМ=0,8 к расх.; ЗПМ=0,8; МАТ=0 к расх.; ТЗ=0,8; ТЗМ=0,8))
НР 90%=118%*(0.9*0.85) от ФОТ
СП 43%=63%*(0.85*0.8) от ФОТ
 </t>
  </si>
  <si>
    <t>52094,82
1029,33</t>
  </si>
  <si>
    <t>1005,2
130,82</t>
  </si>
  <si>
    <t xml:space="preserve">50060,29 
 </t>
  </si>
  <si>
    <t>10.95. Установка люков в перекрытиях: ОЗП=16,45; ЭМ=11,88; ЗПМ=16,45; МАТ=8,17</t>
  </si>
  <si>
    <t>95
16</t>
  </si>
  <si>
    <t>97,336
7,752</t>
  </si>
  <si>
    <t>0,97
0,08</t>
  </si>
  <si>
    <t>ФЕР46-04-012-03
-------------------------
Приказ Минстроя РФ от 30.01.14 №31/пр</t>
  </si>
  <si>
    <t xml:space="preserve">Разборка деревянных заполнений проемов: дверных и воротных, 100 м2
НР 84%=110%*(0.9*0.85) от ФОТ
СП 48%=70%*(0.85*0.8) от ФОТ
 </t>
  </si>
  <si>
    <t>1082,58
840,63</t>
  </si>
  <si>
    <t>241,95
104,49</t>
  </si>
  <si>
    <t>46.82 Разборка деревянных заполнений проемов: ОЗП=16,45; ЭМ=7,19; ЗПМ=16,45</t>
  </si>
  <si>
    <t>14
16</t>
  </si>
  <si>
    <t>103,91
7,74</t>
  </si>
  <si>
    <t>0,94
0,07</t>
  </si>
  <si>
    <t>ФЕР07-05-030-11
-------------------------
Приказ Минстроя РФ от 30.01.14 №31/пр</t>
  </si>
  <si>
    <t xml:space="preserve">Установка мелких конструкций (подоконников, сливов, парапетов и др.) массой до 0,5 т, 100 шт. сборных конструкций
(Демонтаж ПЗ=0,8 (ОЗП=0,8; ЭМ=0,8 к расх.; ЗПМ=0,8; МАТ=0 к расх.; ТЗ=0,8; ТЗМ=0,8))
НР 119%=155%*(0.9*0.85) от ФОТ
СП 68%=100%*(0.85*0.8) от ФОТ
 </t>
  </si>
  <si>
    <t>3099,21
1111,71</t>
  </si>
  <si>
    <t>272,16
42,53</t>
  </si>
  <si>
    <t xml:space="preserve">1715,34 
 </t>
  </si>
  <si>
    <t>7.74. Установка плит лоджий, балконов и козырьков, разделительных стенок, экранов ограждений, плит парапета и мелких конструкций: ОЗП=16,45; ЭМ=11,89; ЗПМ=16,45; МАТ=5,75</t>
  </si>
  <si>
    <t>1653
362</t>
  </si>
  <si>
    <t>98,056
2,52</t>
  </si>
  <si>
    <t>62,76
1,61</t>
  </si>
  <si>
    <t>ФЕР07-05-039-15
-------------------------
Приказ Минстроя РФ от 30.01.14 №31/пр</t>
  </si>
  <si>
    <t xml:space="preserve">Устройство промазки и расшивки швов панелей перекрытий раствором снизу, 100 м шва
НР 119%=155%*(0.9*0.85) от ФОТ
СП 68%=100%*(0.85*0.8) от ФОТ
 </t>
  </si>
  <si>
    <t>320,57
286,68</t>
  </si>
  <si>
    <t xml:space="preserve">25,17 
 </t>
  </si>
  <si>
    <t>7.88. Устройство промазки и расшивки швов панелей перекрытий раствором снизу: ОЗП=16,45; ЭМ=11,42; ЗПМ=16,45; МАТ=6,22</t>
  </si>
  <si>
    <t>ФССЦпг01-01-01-043
-------------------------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</si>
  <si>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</si>
  <si>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>Мусор строительный, экскаваторами емк,ковша 0,5 м3: погрузка; ЭМ=11,56</t>
  </si>
  <si>
    <t>ФССЦпг03-21-01-015
-------------------------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</si>
  <si>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15 км I класс груза, 1 т груза
НР 0% от ФОТ
СП 0% от ФОТ
 </t>
  </si>
  <si>
    <t>Перевозка грузов автомобилями-самосвалами грузоподъемностью 10 т, работающих вне карьера, на расстояние: до 15 км.: I класс груза; ЭМ=9,57</t>
  </si>
  <si>
    <t>Итого прямые затраты по разделу в ценах 2001г.</t>
  </si>
  <si>
    <t>3700
175</t>
  </si>
  <si>
    <t>791,59
15,63</t>
  </si>
  <si>
    <t>Итого прямые затраты по разделу с учетом индексов, в текущих ценах</t>
  </si>
  <si>
    <t>33533
2878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</si>
  <si>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</si>
  <si>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</si>
  <si>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</si>
  <si>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</si>
  <si>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102,42
4,9</t>
  </si>
  <si>
    <t xml:space="preserve">  Прочие ремонтно-строительные работы</t>
  </si>
  <si>
    <t xml:space="preserve">  Кровли</t>
  </si>
  <si>
    <t>214,42
9,04</t>
  </si>
  <si>
    <t xml:space="preserve">  Деревянные конструкции</t>
  </si>
  <si>
    <t xml:space="preserve">  Бетонные и железобетонные сборные конструкции в жилищно-гражданском строительстве</t>
  </si>
  <si>
    <t>208,18
1,61</t>
  </si>
  <si>
    <t xml:space="preserve">  Погрузо-разгрузочные работы</t>
  </si>
  <si>
    <t xml:space="preserve">  Материалы для строительных работ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</si>
  <si>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</si>
  <si>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</si>
  <si>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</si>
  <si>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</si>
  <si>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</si>
  <si>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</si>
  <si>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</si>
  <si>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</si>
  <si>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крыши, кровли</t>
  </si>
  <si>
    <t>ФЕРр53-20-4
-------------------------
Приказ Минстроя РФ от 30.01.14 №31/пр</t>
  </si>
  <si>
    <t xml:space="preserve">Кладка отдельных участков из кирпича: внутренних стен, 100 м3 кладки
НР 73%=86%*0.85 от ФОТ
СП 56%=70%*0.8 от ФОТ
 </t>
  </si>
  <si>
    <t>91366,22
5614,6</t>
  </si>
  <si>
    <t>3369,6
526,5</t>
  </si>
  <si>
    <t xml:space="preserve">82382,02 
 </t>
  </si>
  <si>
    <t>79.38 Кладка отдельных участков стен из кирпича и заделка проемов кирпичом: ОЗП=16,45; ЭМ=12,02; ЗПМ=16,45; МАТ=4,63</t>
  </si>
  <si>
    <t>685
148</t>
  </si>
  <si>
    <t>670
39</t>
  </si>
  <si>
    <t>11,39
0,66</t>
  </si>
  <si>
    <t>ФЕР09-03-015-01
-------------------------
Приказ Минстроя РФ от 30.01.14 №31/пр</t>
  </si>
  <si>
    <t xml:space="preserve">Монтаж прогонов при шаге ферм до 12 м при высоте здания: до 25 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</si>
  <si>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508,12
138</t>
  </si>
  <si>
    <t>284,61
22,45</t>
  </si>
  <si>
    <t xml:space="preserve">85,51 
 </t>
  </si>
  <si>
    <t>9.31 Монтаж прогонов при шаге ферм до 12 м: ОЗП=16,45; ЭМ=10,16; ЗПМ=16,45; МАТ=5,55</t>
  </si>
  <si>
    <t>2753
345</t>
  </si>
  <si>
    <t>18,1585
1,95</t>
  </si>
  <si>
    <t>13,82
1,48</t>
  </si>
  <si>
    <t>ФССЦ-201-0757
-------------------------
Приказ Минстроя России от 12.11.14 №703/пр</t>
  </si>
  <si>
    <t xml:space="preserve">Отдельные конструктивные элементы зданий и сооружений с преобладанием: горячекатаных профилей, средняя масса сборочной единицы от 0,5 до 1 т, т
 </t>
  </si>
  <si>
    <t xml:space="preserve">7008,5 
 </t>
  </si>
  <si>
    <t>Отдельные конструктивные элементы зданий и сооружений с преобладанием:горячекатаных профилей, средняя масса сборочной единицы от 0,5 до 1 т; МАТ=9,931</t>
  </si>
  <si>
    <t>ФЕР10-01-083-07
-------------------------
Приказ Минстроя РФ от 30.01.14 №31/пр</t>
  </si>
  <si>
    <t xml:space="preserve">Устройство по фермам настила: рабочего толщиной 50 мм сплошного,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</si>
  <si>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8001,25
283,88</t>
  </si>
  <si>
    <t>199,02
15,8</t>
  </si>
  <si>
    <t xml:space="preserve">7518,35 
 </t>
  </si>
  <si>
    <t>10.146 Устройство по фермам настила: ОЗП=16,45; ЭМ=10,98; ЗПМ=16,45; МАТ=5,44</t>
  </si>
  <si>
    <t>132
16</t>
  </si>
  <si>
    <t>37,352
1,4625</t>
  </si>
  <si>
    <t>1,76
0,07</t>
  </si>
  <si>
    <t>ФЕРр58-13-1
-------------------------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</si>
  <si>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</si>
  <si>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</si>
  <si>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883,33 
 </t>
  </si>
  <si>
    <t>84.34 Устройство покрытия из рулонных материалов: насухо без промазки кромок: ОЗП=16,45; ЭМ=11,42; ЗПМ=16,45; МАТ=5</t>
  </si>
  <si>
    <t>ФЕР13-03-004-26
-------------------------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</si>
  <si>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</si>
  <si>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322,24
34,74</t>
  </si>
  <si>
    <t>6,22
0,1</t>
  </si>
  <si>
    <t xml:space="preserve">281,28 
 </t>
  </si>
  <si>
    <t>13.100 Окраска металлических огрунтованных поверхностей: эмалью ПФ-115: ОЗП=16,45; ЭМ=10,62; ЗПМ=16,45; МАТ=4,94</t>
  </si>
  <si>
    <t>8,809
0,025</t>
  </si>
  <si>
    <t>2,91
0,01</t>
  </si>
  <si>
    <t>ФЕР10-01-002-01
-------------------------
Приказ Минстроя РФ от 30.01.14 №31/пр</t>
  </si>
  <si>
    <t xml:space="preserve">Установка стропил,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</si>
  <si>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2300,67
200,19</t>
  </si>
  <si>
    <t>38,22
2,03</t>
  </si>
  <si>
    <t xml:space="preserve">2062,26 
 </t>
  </si>
  <si>
    <t>10.4. Установка стропил: ОЗП=16,45; ЭМ=10,79; ЗПМ=16,45; МАТ=3,71</t>
  </si>
  <si>
    <t>6830
559</t>
  </si>
  <si>
    <t>27,7035
0,1875</t>
  </si>
  <si>
    <t>366,79
2,48</t>
  </si>
  <si>
    <t>ФЕР10-01-010-01
-------------------------
Приказ Минстроя РФ от 30.01.14 №31/пр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</si>
  <si>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</si>
  <si>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2411,06
188,55</t>
  </si>
  <si>
    <t xml:space="preserve">2189 
 </t>
  </si>
  <si>
    <t>10.18. Установка деревянных элементов каркаса: ОЗП=16,45; ЭМ=11,08; ЗПМ=16,45; МАТ=3,37</t>
  </si>
  <si>
    <t>ФЕР10-01-008-04
-------------------------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</si>
  <si>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</si>
  <si>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5335,24
580,04</t>
  </si>
  <si>
    <t xml:space="preserve">4663,03 
 </t>
  </si>
  <si>
    <t>10.11. Устройство фронтонов: ОЗП=16,45; ЭМ=11,4; ЗПМ=16,45; МАТ=7,31</t>
  </si>
  <si>
    <t>ФССЦ-203-0367
-------------------------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</si>
  <si>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</si>
  <si>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1784 
 </t>
  </si>
  <si>
    <t>Обшивка наружняя и внутренняя из древесины типа 0-1, 0-2, 0-3 толщиной 13 мм, шириной без гребня от 70 до 90 мм; МАТ=9,396</t>
  </si>
  <si>
    <t>ФССЦ-101-3849
-------------------------
Приказ Минстроя России от 12.11.14 №703/пр</t>
  </si>
  <si>
    <t xml:space="preserve">Профилированный настил оцинкованный: С10-1000-0,6, т
 </t>
  </si>
  <si>
    <t>0,101745
5,7*17*1,05/1000</t>
  </si>
  <si>
    <t xml:space="preserve">10675,31 
 </t>
  </si>
  <si>
    <t>Профилированный настил оцинкованный: С10-1000-0,6; МАТ=3,862</t>
  </si>
  <si>
    <t>ФЕР10-01-008-05
-------------------------
Приказ Минстроя России от 12.11.14 №703/пр</t>
  </si>
  <si>
    <t xml:space="preserve">Устройство: карнизов,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</si>
  <si>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5313,53
1219,79</t>
  </si>
  <si>
    <t xml:space="preserve">4013,93 
 </t>
  </si>
  <si>
    <t>10.12. Устройство карнизов: ОЗП=16,45; ЭМ=11,36; ЗПМ=16,45; МАТ=6,51</t>
  </si>
  <si>
    <t>ФССЦ-102-0052
-------------------------
Приказ Минстроя России от 12.11.14 №703/пр</t>
  </si>
  <si>
    <t xml:space="preserve">Доски обрезные хвойных пород длиной: 4-6,5 м, шириной 75-150 мм, толщиной 25 мм, II сорта, м3
 </t>
  </si>
  <si>
    <t xml:space="preserve">1375 
 </t>
  </si>
  <si>
    <t>Доски обрезные хвойных пород длиной: 4-6,5 м, шириной 75-150 мм, толщиной 25 мм, II сорта; МАТ=3,99</t>
  </si>
  <si>
    <t>ФЕР10-01-059-01, прим.
-------------------------
Приказ Минстроя РФ от 30.01.14 №31/пр</t>
  </si>
  <si>
    <t xml:space="preserve">Установка жалюзийных решеток,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</si>
  <si>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2505,44
602,7</t>
  </si>
  <si>
    <t>269,39
23,36</t>
  </si>
  <si>
    <t xml:space="preserve">1633,35 
 </t>
  </si>
  <si>
    <t>10.131 Установка штучных изделий: ОЗП=16,45; ЭМ=10,57; ЗПМ=16,45; МАТ=2,33</t>
  </si>
  <si>
    <t>74
16</t>
  </si>
  <si>
    <t>86,4225
2,1625</t>
  </si>
  <si>
    <t>1,73
0,04</t>
  </si>
  <si>
    <t>ФССЦ-203-0267
-------------------------
Приказ Минстроя России от 12.11.14 №703/пр</t>
  </si>
  <si>
    <t xml:space="preserve">Створки фрамужные площадь: 0,4-0,6 м2, м2
 </t>
  </si>
  <si>
    <t xml:space="preserve">161,47 
 </t>
  </si>
  <si>
    <t>Створки фрамужные:  пл. 0.4-0.6 м2; МАТ=6,633</t>
  </si>
  <si>
    <t>ФЕРр58-13-2
-------------------------
Приказ Минстроя РФ от 30.01.14 №31/пр</t>
  </si>
  <si>
    <t xml:space="preserve">Устройство покрытия из рулонных материалов: насухо с промазкой кромок мастикой, 100 м2 кровли
НР 71%=83%*0.85 от ФОТ
СП 52%=65%*0.8 от ФОТ
 </t>
  </si>
  <si>
    <t>1032,31
68,3</t>
  </si>
  <si>
    <t xml:space="preserve">957,91 
 </t>
  </si>
  <si>
    <t>84.35 Устройство покрытия из рулонных материалов: насухо с промазкой кромок мастикой: ОЗП=16,45; ЭМ=11,43; ЗПМ=16,45; МАТ=5,4</t>
  </si>
  <si>
    <t>ФССЦ-101-0594
-------------------------
Приказ Минстроя России от 12.11.14 №703/пр</t>
  </si>
  <si>
    <t xml:space="preserve">Мастика битумная кровельная горячая, т
 </t>
  </si>
  <si>
    <t xml:space="preserve">3390 
 </t>
  </si>
  <si>
    <t>Мастика битумная кровельная горячая; МАТ=10,162</t>
  </si>
  <si>
    <t>ФССЦ-101-0852
-------------------------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</si>
  <si>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</si>
  <si>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7,46 
 </t>
  </si>
  <si>
    <t>Рубероид кровельный с крупнозернистой посыпкой марки: РКК-350б; МАТ=4,999</t>
  </si>
  <si>
    <t>ТССЦ-104-9221-90005</t>
  </si>
  <si>
    <t xml:space="preserve">Изоспан: Монтажные соединительные ленты марки SL (34м2/0,015мм)   9,63/5,58, м
 </t>
  </si>
  <si>
    <t xml:space="preserve">1,73 
 </t>
  </si>
  <si>
    <t>; МАТ=5,58</t>
  </si>
  <si>
    <t>ФССЦ-101-7200
-------------------------
Приказ Минстроя России от 12.11.14 №703/пр</t>
  </si>
  <si>
    <t xml:space="preserve">ИЗОСПАН: D, 10 м2
 </t>
  </si>
  <si>
    <t xml:space="preserve">37,5 
 </t>
  </si>
  <si>
    <t>ТССЦ-104-9221-90004 18,33/37,5/10м2=4,89; МАТ=4,89</t>
  </si>
  <si>
    <t>ФЕР09-05-001-01
-------------------------
Приказ Минстроя РФ от 30.01.14 №31/пр</t>
  </si>
  <si>
    <t xml:space="preserve">Облицовка  карниза стальным профилированным листом, 100 м2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</si>
  <si>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340,32
288,75</t>
  </si>
  <si>
    <t>38,21
1,62</t>
  </si>
  <si>
    <t xml:space="preserve">13,36 
 </t>
  </si>
  <si>
    <t>9.68 Облицовка ворот стальным профилированным листом: ОЗП=16,45; ЭМ=9,36; ЗПМ=16,45; МАТ=2,92</t>
  </si>
  <si>
    <t>309
16</t>
  </si>
  <si>
    <t>37,4785
0,15</t>
  </si>
  <si>
    <t>26,24
0,11</t>
  </si>
  <si>
    <t>0,41895
5,7*70*1.05/1000</t>
  </si>
  <si>
    <t>ФЕРр58-12-1
-------------------------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</si>
  <si>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</si>
  <si>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2492,19
252,73</t>
  </si>
  <si>
    <t>40,78
5,94</t>
  </si>
  <si>
    <t xml:space="preserve">2198,68 
 </t>
  </si>
  <si>
    <t>84.30 Устройство обрешетки сплошной из досок: ОЗП=16,45; ЭМ=10; ЗПМ=16,45; МАТ=5,51</t>
  </si>
  <si>
    <t>1020
247</t>
  </si>
  <si>
    <t>31,83
0,44</t>
  </si>
  <si>
    <t>79,58
1,1</t>
  </si>
  <si>
    <t>ФЕРр58-12-2
-------------------------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</si>
  <si>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</si>
  <si>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</si>
  <si>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</si>
  <si>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1570,73 
 </t>
  </si>
  <si>
    <t>84.31 Устройство обрешетки с прозорами из досок и брусков под кровлю: из листовой стали: ОЗП=16,45; ЭМ=9,83; ЗПМ=16,45; МАТ=5,25</t>
  </si>
  <si>
    <t>993
263</t>
  </si>
  <si>
    <t>21,35
0,32</t>
  </si>
  <si>
    <t>81,13
1,22</t>
  </si>
  <si>
    <t>ФЕР12-01-023-01
-------------------------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</si>
  <si>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</si>
  <si>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9597,58
332,9</t>
  </si>
  <si>
    <t>115,24
10,67</t>
  </si>
  <si>
    <t xml:space="preserve">9149,44 
 </t>
  </si>
  <si>
    <t>12.51. Устройство кровли из металлочерепицы (с отделочным покрытием): ОЗП=16,45; ЭМ=11,1; ЗПМ=16,45; МАТ=3,6</t>
  </si>
  <si>
    <t>8791
1201</t>
  </si>
  <si>
    <t>44,3095
0,9875</t>
  </si>
  <si>
    <t>243,7
5,43</t>
  </si>
  <si>
    <t>ФССЦ-101-4136
-------------------------
Приказ Минстроя России от 12.11.14 №703/пр</t>
  </si>
  <si>
    <t xml:space="preserve">Металлочерепица «Монтеррей», м2
 </t>
  </si>
  <si>
    <t xml:space="preserve">70,5 
 </t>
  </si>
  <si>
    <t>Металлочерепица «Монтеррей»; МАТ=3,818</t>
  </si>
  <si>
    <t>ФССЦ-101-3845
-------------------------
Приказ Минстроя России от 12.11.14 №703/пр</t>
  </si>
  <si>
    <t xml:space="preserve">Профилированный лист оцинкованный: НС44-1000-0,7, т
 </t>
  </si>
  <si>
    <t>4,79325
8,3*550*1,05/1000</t>
  </si>
  <si>
    <t xml:space="preserve">10090,38 
 </t>
  </si>
  <si>
    <t>Профилированный лист оцинкованный: НС44-1000-0,7; МАТ=4,286</t>
  </si>
  <si>
    <t>ФССЦ-101-1998
-------------------------
Приказ Минстроя России от 12.11.14 №703/пр</t>
  </si>
  <si>
    <t xml:space="preserve">Дополнительный объем до проектного :Прокладки уплотнительные: пенополиуретановые открытопористые для металлочерепицы (1800*50*50 мм), м
 </t>
  </si>
  <si>
    <t xml:space="preserve">25 
 </t>
  </si>
  <si>
    <t>Прокладки уплотнительные:пенополиуретановые открытопористые для металлочерепицы (1800*50*50 мм); МАТ=1,637</t>
  </si>
  <si>
    <t>ФССЦ-101-3741
-------------------------
Приказ Минстроя России от 12.11.14 №703/пр</t>
  </si>
  <si>
    <t xml:space="preserve">Сталь листовая оцинкованная толщиной листа: 0,55 мм, т
 </t>
  </si>
  <si>
    <t xml:space="preserve">10484 
 </t>
  </si>
  <si>
    <t>Сталь листовая оцинкованная толщиной листа: 0,55 мм; МАТ=3,919</t>
  </si>
  <si>
    <t>ФЕР09-05-006-01
-------------------------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</si>
  <si>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</si>
  <si>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258,5
160+98,5</t>
  </si>
  <si>
    <t>3,6
3,05</t>
  </si>
  <si>
    <t>9.74 Резка стального профилированного настила: ОЗП=16,45; ЭМ=2,22; ЗПМ=16,45</t>
  </si>
  <si>
    <t xml:space="preserve">Установка  деревянных лестниц,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</si>
  <si>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ФЕР12-01-009-01
-------------------------
Приказ Минстроя РФ от 30.01.14 №31/пр</t>
  </si>
  <si>
    <t xml:space="preserve">Устройство желобов: настенных, 100 м желобов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</si>
  <si>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18952,69
722,92</t>
  </si>
  <si>
    <t>296,15
28,49</t>
  </si>
  <si>
    <t xml:space="preserve">17933,62 
 </t>
  </si>
  <si>
    <t>12.26. Устройство желобов: ОЗП=16,45; ЭМ=11,44; ЗПМ=16,45; МАТ=4,06</t>
  </si>
  <si>
    <t>4164
576</t>
  </si>
  <si>
    <t>97,4625
2,6375</t>
  </si>
  <si>
    <t>95,94
2,6</t>
  </si>
  <si>
    <t>ФЕР10-01-003-01
-------------------------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</si>
  <si>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</si>
  <si>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378,81
56,55</t>
  </si>
  <si>
    <t>22,06
1,49</t>
  </si>
  <si>
    <t xml:space="preserve">300,2 
 </t>
  </si>
  <si>
    <t>10.5. Устройство слуховых окон: ОЗП=16,45; ЭМ=10,98; ЗПМ=16,45; МАТ=5,3</t>
  </si>
  <si>
    <t>307
33</t>
  </si>
  <si>
    <t>7,6245
0,1375</t>
  </si>
  <si>
    <t>7,62
0,14</t>
  </si>
  <si>
    <t>ФССЦ-101-2001
-------------------------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</si>
  <si>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</si>
  <si>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13,42 
 </t>
  </si>
  <si>
    <t>Шпингалеты дверные размером 230x26 мм, оцинкованные или окрашенные; МАТ=1,941</t>
  </si>
  <si>
    <t>ФССЦ-101-2007
-------------------------
Приказ Минстроя России от 12.11.14 №703/пр</t>
  </si>
  <si>
    <t xml:space="preserve">Петли форточные накладные размером 70х55 мм, компл.
 </t>
  </si>
  <si>
    <t xml:space="preserve">3,74 
 </t>
  </si>
  <si>
    <t>Петли форточные накладные размером 70x55 мм; МАТ=2,337</t>
  </si>
  <si>
    <t>ФЕР09-03-029-01
-------------------------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</si>
  <si>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</si>
  <si>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1084,67
304,28</t>
  </si>
  <si>
    <t>691,89
76,25</t>
  </si>
  <si>
    <t xml:space="preserve">88,5 
 </t>
  </si>
  <si>
    <t>9.35 Монтаж лестниц прямолинейных и криволинейных, пожарных с ограждением: ОЗП=16,45; ЭМ=10,28; ЗПМ=16,45; МАТ=5,25</t>
  </si>
  <si>
    <t>247
49</t>
  </si>
  <si>
    <t>37,2255
7,05</t>
  </si>
  <si>
    <t>1,02
0,19</t>
  </si>
  <si>
    <t>ФССЦ-201-0777
-------------------------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</si>
  <si>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</si>
  <si>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10045 
 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</si>
  <si>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</t>
  </si>
  <si>
    <t>ФЕР12-01-012-01
-------------------------
Приказ Минстроя РФ от 30.01.14 №31/пр</t>
  </si>
  <si>
    <t xml:space="preserve">Страховочный трос,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</si>
  <si>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3147,39
59,1</t>
  </si>
  <si>
    <t>55,38
3,92</t>
  </si>
  <si>
    <t xml:space="preserve">3032,91 
 </t>
  </si>
  <si>
    <t>12.29. Ограждение кровель перилами: ОЗП=16,45; ЭМ=9,92; ЗПМ=16,45; МАТ=7,67</t>
  </si>
  <si>
    <t>218
33</t>
  </si>
  <si>
    <t>7,6705
0,3625</t>
  </si>
  <si>
    <t>2,45
0,12</t>
  </si>
  <si>
    <t>ФССЦ-509-0801
-------------------------
Приказ Минстроя России от 12.11.14 №703/пр</t>
  </si>
  <si>
    <t xml:space="preserve">Трос стальной, м
 </t>
  </si>
  <si>
    <t xml:space="preserve">12,03 
 </t>
  </si>
  <si>
    <t>Трос стальной; МАТ=6,918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</si>
  <si>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</si>
  <si>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605
66</t>
  </si>
  <si>
    <t>6,78
0,32</t>
  </si>
  <si>
    <t xml:space="preserve">Монтаж:Переходного мостика 10 кг,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</si>
  <si>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Металлпрофиль</t>
  </si>
  <si>
    <t xml:space="preserve">Переходный мостик 2500/1,18/5,58, шт
 </t>
  </si>
  <si>
    <t xml:space="preserve">379,69 
 </t>
  </si>
  <si>
    <t>4,02
0,01</t>
  </si>
  <si>
    <t>ФЕРр58-15-1
-------------------------
Приказ Минстроя РФ от 30.01.14 №31/пр</t>
  </si>
  <si>
    <t xml:space="preserve">Перенавеска водосточных труб: с земли, лестниц или подмостей, 100 м труб
НР 71%=83%*0.85 от ФОТ
СП 52%=65%*0.8 от ФОТ
 </t>
  </si>
  <si>
    <t>529,88
521,86</t>
  </si>
  <si>
    <t xml:space="preserve">8,02 
 </t>
  </si>
  <si>
    <t>84.42 Перенавеска водосточных труб: ОЗП=16,45; МАТ=3,39</t>
  </si>
  <si>
    <t>ФЕРр58-3-2
-------------------------
Приказ Минстроя РФ от 30.01.14 №31/пр</t>
  </si>
  <si>
    <t xml:space="preserve">Разборка мелких покрытий и обделок из листовой стали: водосточных труб с земли и подмостей, 100 м труб и покрытий
НР 71%=83%*0.85 от ФОТ
СП 52%=65%*0.8 от ФОТ
 </t>
  </si>
  <si>
    <t>88,54
88,54</t>
  </si>
  <si>
    <t>84.3 Разборка мелких покрытий и обделок из листовой стали: ОЗП=16,45; ЭМ=4,75; ЗПМ=16,45</t>
  </si>
  <si>
    <t>ФССЦ-101-0782
-------------------------
Приказ Минстроя России от 12.11.14 №703/пр</t>
  </si>
  <si>
    <t xml:space="preserve">Поковки из квадратных заготовок, масса: 1,8 кг, т
 </t>
  </si>
  <si>
    <t xml:space="preserve">5989 
 </t>
  </si>
  <si>
    <t>Поковки из квадратных заготовок, масса: 1,8 кг; МАТ=4,267</t>
  </si>
  <si>
    <t xml:space="preserve">Труба водосточная 150х1000  390/1,18/5,58, шт
 </t>
  </si>
  <si>
    <t xml:space="preserve">59,23 
 </t>
  </si>
  <si>
    <t xml:space="preserve">Колено водосточное сливное 150  280/1,18/5,58, шт
 </t>
  </si>
  <si>
    <t xml:space="preserve">42,52 
 </t>
  </si>
  <si>
    <t>ФССЦ-301-1104
-------------------------
Приказ Минстроя России от 12.11.14 №703/пр</t>
  </si>
  <si>
    <t xml:space="preserve">Воронка водосточная: из оцинкованной стали толщиной 0,55 диаметром 215 мм, шт.
 </t>
  </si>
  <si>
    <t xml:space="preserve">67,8 
 </t>
  </si>
  <si>
    <t>Воронка водосточная из оцинкованной стали толщиной 0,55 диаметром 215 мм; МАТ=2,998</t>
  </si>
  <si>
    <t>ФССЦ-201-1103
-------------------------
Приказ Минстроя России от 12.11.14 №703/пр</t>
  </si>
  <si>
    <t xml:space="preserve">Отливы (отметы) из оцинкованной стали толщиной 0,55 мм диаметром 140 мм, шт.
 </t>
  </si>
  <si>
    <t xml:space="preserve">35,9 
 </t>
  </si>
  <si>
    <t>Отливы (отметы) из оцинкованной стали толщиной 0,55 мм диаметром 140 мм; МАТ=3,9</t>
  </si>
  <si>
    <t>3300
217</t>
  </si>
  <si>
    <t>1592,81
15,98</t>
  </si>
  <si>
    <t>34369
3568</t>
  </si>
  <si>
    <t>Итоги по разделу 2 Устройство крыши, кровли :</t>
  </si>
  <si>
    <t xml:space="preserve">  Стены (ремонтно-строительные)</t>
  </si>
  <si>
    <t xml:space="preserve">  Строительные металлические конструкции</t>
  </si>
  <si>
    <t>142,15
1,78</t>
  </si>
  <si>
    <t>798,7
2,73</t>
  </si>
  <si>
    <t xml:space="preserve">  Крыши, кровли (ремонтно-строительные)</t>
  </si>
  <si>
    <t>284,67
2,32</t>
  </si>
  <si>
    <t xml:space="preserve">  Защита строительных конструкций и оборудования от коррозии</t>
  </si>
  <si>
    <t>6,93
0,02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</si>
  <si>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</si>
  <si>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348,97
8,47</t>
  </si>
  <si>
    <t xml:space="preserve">  Итого по разделу 2 Устройство крыши, кровли</t>
  </si>
  <si>
    <t xml:space="preserve">                           Раздел 3. Вентканалы</t>
  </si>
  <si>
    <t>ФЕРр53-20-1
-------------------------
Приказ Минстроя РФ от 30.01.14 №31/пр</t>
  </si>
  <si>
    <t xml:space="preserve">Кладка отдельных участков из кирпича: наружных простых стен, 100 м3 кладки
НР 73%=86%*0.85 от ФОТ
СП 56%=70%*0.8 от ФОТ
 </t>
  </si>
  <si>
    <t>89275,4
4717,94</t>
  </si>
  <si>
    <t xml:space="preserve">81187,86 
 </t>
  </si>
  <si>
    <t>4459
954</t>
  </si>
  <si>
    <t>563
39</t>
  </si>
  <si>
    <t>61,93
4,29</t>
  </si>
  <si>
    <t>ФССЦ-404-0005
-------------------------
Приказ Минстроя России от 12.11.14 №703/пр</t>
  </si>
  <si>
    <t xml:space="preserve">Кирпич керамический одинарный, размером 250х120х65 мм, марка: 100, 1000 шт.
 </t>
  </si>
  <si>
    <t xml:space="preserve">1752,6 
 </t>
  </si>
  <si>
    <t>Кирпич керамический одинарный, размером 250х120х65 мм, марка 100; МАТ=4,565</t>
  </si>
  <si>
    <t>ФССЦ-402-0013
-------------------------
Приказ Минстроя России от 12.11.14 №703/пр</t>
  </si>
  <si>
    <t xml:space="preserve">Раствор готовый кладочный цементно-известковый марки: 50, м3
 </t>
  </si>
  <si>
    <t xml:space="preserve">519,8 
 </t>
  </si>
  <si>
    <t>Раствор готовый кладочный цементно-известковый, марка: 50; МАТ=4,987</t>
  </si>
  <si>
    <t>ФССЦ-404-0006
-------------------------
Приказ Минстроя России от 12.11.14 №703/пр</t>
  </si>
  <si>
    <t xml:space="preserve">Кирпич керамический одинарный, размером 250х120х65 мм, марка: 125, 1000 шт.
 </t>
  </si>
  <si>
    <t xml:space="preserve">1863,37 
 </t>
  </si>
  <si>
    <t>Кирпич керамический одинарный, размером 250х120х65 мм, марка 125; МАТ=4,491</t>
  </si>
  <si>
    <t>ФССЦ-402-0014
-------------------------
Приказ Минстроя России от 12.11.14 №703/пр</t>
  </si>
  <si>
    <t xml:space="preserve">Раствор готовый кладочный цементно-известковый марки: 75, м3
 </t>
  </si>
  <si>
    <t>Раствор готовый кладочный цементно-известковый, марка: 75; МАТ=5,374</t>
  </si>
  <si>
    <t xml:space="preserve">Установка элементов каркаса: из брусьев,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</si>
  <si>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ФЕР26-01-053-01
-------------------------
Приказ Минстроя РФ от 30.01.14 №31/пр</t>
  </si>
  <si>
    <t xml:space="preserve">Покрытие изоляции плоских (криволинейных) поверхностей листовым металлом с заготовкой покрытия,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</si>
  <si>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10359,57
1265,72</t>
  </si>
  <si>
    <t xml:space="preserve">8515,41 
 </t>
  </si>
  <si>
    <t>26.69 Покрытие изоляции плоских (криволинейных) поверхностей листовым металлом с заготовкой покрытия: ОЗП=16,45; ЭМ=8; ЗПМ=16,45; МАТ=3,7</t>
  </si>
  <si>
    <t>ФЕР26-01-036-01
-------------------------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</si>
  <si>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</si>
  <si>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247,16
132,33</t>
  </si>
  <si>
    <t>9,38
0,41</t>
  </si>
  <si>
    <t xml:space="preserve">105,45 
 </t>
  </si>
  <si>
    <t>26.40 Изоляция изделиями из волокнистых и зернистых материалов с креплением на клее и дюбелями холодных поверхностей: наружных стен: ОЗП=16,45; ЭМ=9,37; ЗПМ=16,45; МАТ=1,42</t>
  </si>
  <si>
    <t>18,469
0,0375</t>
  </si>
  <si>
    <t>17,73
0,04</t>
  </si>
  <si>
    <t>Каталог ТССЦ: 104-9100-91001</t>
  </si>
  <si>
    <t xml:space="preserve">Плиты теплоизоляционные энергетические гидрофобизированные базальтовые: ПТЭ-75 , размером  2000х1000х80-100 мм 2611,91/5,58, м3
 </t>
  </si>
  <si>
    <t xml:space="preserve">468,08 
 </t>
  </si>
  <si>
    <t>ФЕР26-01-054-01
-------------------------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</si>
  <si>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</si>
  <si>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1731,54
276,31</t>
  </si>
  <si>
    <t xml:space="preserve">1404,64 
 </t>
  </si>
  <si>
    <t>26.71 Обертывание поверхности изоляции рулонными материалами насухо с проклейкой швов: ОЗП=16,45; ЭМ=10,4; ЗПМ=16,45; МАТ=9,73</t>
  </si>
  <si>
    <t>ФССЦ-101-1794
-------------------------
Приказ Минстроя России от 12.11.14 №703/пр</t>
  </si>
  <si>
    <t xml:space="preserve">Бризол, 1000 м2
 </t>
  </si>
  <si>
    <t xml:space="preserve">7800 
 </t>
  </si>
  <si>
    <t>Бризол; МАТ=11,969</t>
  </si>
  <si>
    <t>ФССЦ-101-7198
-------------------------
Приказ Минстроя России от 12.11.14 №703/пр</t>
  </si>
  <si>
    <t xml:space="preserve">ИЗОСПАН: В, 10 м2
 </t>
  </si>
  <si>
    <t xml:space="preserve">27,5 
 </t>
  </si>
  <si>
    <t>ТССЦ-104-9221-90002 13,6/27,5/10м2=4,95; МАТ=4,95</t>
  </si>
  <si>
    <t>ФССЦ-104-0077
-------------------------
Приказ Минстроя России от 12.11.14 №703/пр</t>
  </si>
  <si>
    <t xml:space="preserve">Стеклопластик рулонный марки: РСТ-А-Л-В, 1000 м2
 </t>
  </si>
  <si>
    <t>0,0621
0,054*1,15</t>
  </si>
  <si>
    <t xml:space="preserve">22020 
 </t>
  </si>
  <si>
    <t>Стеклопластик рулонный марки:РСТ-А-Л-В; МАТ=1,537</t>
  </si>
  <si>
    <t>ФЕР12-01-011-01
-------------------------
Приказ Минстроя РФ от 30.01.14 №31/пр</t>
  </si>
  <si>
    <t xml:space="preserve">Устройство колпаков над шахтами в два канала, 1 колпак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</si>
  <si>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444,13
16,46</t>
  </si>
  <si>
    <t xml:space="preserve">426,8 
 </t>
  </si>
  <si>
    <t>12.28. Устройство колпаков над шахтами: ОЗП=16,45; ЭМ=11,45; ЗПМ=16,45; МАТ=3,67</t>
  </si>
  <si>
    <t>800
58</t>
  </si>
  <si>
    <t>218,59
4,33</t>
  </si>
  <si>
    <t>8193
954</t>
  </si>
  <si>
    <t>Итоги по разделу 3 Вентканалы :</t>
  </si>
  <si>
    <t xml:space="preserve">  Теплоизоляционные работы</t>
  </si>
  <si>
    <t>140,3
0,04</t>
  </si>
  <si>
    <t xml:space="preserve">  Итого по разделу 3 Вентканалы</t>
  </si>
  <si>
    <t xml:space="preserve">                           Раздел 4. Перекрытия</t>
  </si>
  <si>
    <t xml:space="preserve">Устройство покрытия из рулонных материалов: насухо без промазки кромок, 100 м2 кровли
НР 71%=83%*0,85 от ФОТ
СП 52%=65%*0,8 от ФОТ
 </t>
  </si>
  <si>
    <t xml:space="preserve">ИЗОСПАН:, 10 м2
 </t>
  </si>
  <si>
    <t>ФЕР12-01-013-03
-------------------------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</si>
  <si>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</si>
  <si>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4711,58
433,09</t>
  </si>
  <si>
    <t>132,25
7,43</t>
  </si>
  <si>
    <t xml:space="preserve">4146,24 
 </t>
  </si>
  <si>
    <t>12.31. Утепление покрытий плитами: из минеральной ваты или перлита на битумной мастике: ОЗП=16,45; ЭМ=9,01; ЗПМ=16,45; МАТ=6,8</t>
  </si>
  <si>
    <t>6631
674</t>
  </si>
  <si>
    <t>52,371
0,6875</t>
  </si>
  <si>
    <t>233,05
3,06</t>
  </si>
  <si>
    <t>ФЕР12-01-013-04
-------------------------
Приказ Минстроя РФ от 30.01.14 №31/пр</t>
  </si>
  <si>
    <t>Составил:____________________________</t>
  </si>
  <si>
    <t xml:space="preserve">  Итого по смете</t>
  </si>
  <si>
    <t>Непредвиденные затраты 2%</t>
  </si>
  <si>
    <t>НДС 18%</t>
  </si>
  <si>
    <t xml:space="preserve">  Всего по смете</t>
  </si>
  <si>
    <t>Понижающий коэффициент к= 0.987235752701387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</si>
</sst>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1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" fillId="0" borderId="1">
      <alignment horizontal="center"/>
      <protection/>
    </xf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35" fillId="28" borderId="8" applyNumberFormat="0" applyAlignment="0" applyProtection="0"/>
    <xf numFmtId="0" fontId="2" fillId="0" borderId="1">
      <alignment horizontal="center" wrapText="1"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1">
      <alignment horizontal="center"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40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41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54" applyFont="1" applyBorder="1" applyAlignment="1">
      <alignment horizontal="center"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68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6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68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1" xfId="68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6" fillId="0" borderId="0" xfId="68" applyFont="1" applyAlignment="1" quotePrefix="1">
      <alignment horizontal="left"/>
    </xf>
    <xf numFmtId="0" fontId="6" fillId="0" borderId="0" xfId="69" applyFont="1" applyAlignment="1">
      <alignment horizontal="left"/>
      <protection/>
    </xf>
    <xf numFmtId="0" fontId="6" fillId="0" borderId="0" xfId="0" applyFont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 quotePrefix="1">
      <alignment horizontal="right" vertical="top"/>
    </xf>
    <xf numFmtId="0" fontId="6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 quotePrefix="1">
      <alignment horizontal="left" vertical="top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4" applyFont="1" applyBorder="1" applyAlignment="1">
      <alignment horizontal="center" wrapText="1"/>
      <protection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" xfId="52" applyFont="1" applyBorder="1" applyAlignment="1">
      <alignment horizontal="right" vertical="top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72" applyFont="1" applyAlignment="1">
      <alignment horizontal="left" vertical="top"/>
      <protection/>
    </xf>
    <xf numFmtId="0" fontId="6" fillId="0" borderId="0" xfId="52" applyFont="1" applyBorder="1" applyAlignment="1">
      <alignment horizontal="right" vertical="top" wrapText="1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15" xfId="52" applyFont="1" applyBorder="1" applyAlignment="1">
      <alignment horizontal="right" vertical="top" wrapText="1"/>
      <protection/>
    </xf>
    <xf numFmtId="0" fontId="6" fillId="0" borderId="16" xfId="52" applyFont="1" applyBorder="1" applyAlignment="1">
      <alignment horizontal="right" vertical="top" wrapText="1"/>
      <protection/>
    </xf>
    <xf numFmtId="0" fontId="6" fillId="0" borderId="17" xfId="52" applyFont="1" applyBorder="1" applyAlignment="1">
      <alignment horizontal="right" vertical="top" wrapText="1"/>
      <protection/>
    </xf>
    <xf numFmtId="0" fontId="6" fillId="0" borderId="18" xfId="52" applyFont="1" applyBorder="1" applyAlignment="1">
      <alignment horizontal="right" vertical="top" wrapText="1"/>
      <protection/>
    </xf>
    <xf numFmtId="0" fontId="6" fillId="0" borderId="19" xfId="52" applyFont="1" applyBorder="1" applyAlignment="1">
      <alignment horizontal="right" vertical="top" wrapText="1"/>
      <protection/>
    </xf>
    <xf numFmtId="0" fontId="6" fillId="0" borderId="12" xfId="52" applyFont="1" applyBorder="1" applyAlignment="1">
      <alignment horizontal="right" vertical="top" wrapText="1"/>
      <protection/>
    </xf>
    <xf numFmtId="0" fontId="6" fillId="0" borderId="13" xfId="52" applyFont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left" vertical="top" wrapText="1"/>
    </xf>
    <xf numFmtId="2" fontId="6" fillId="0" borderId="12" xfId="52" applyNumberFormat="1" applyFont="1" applyBorder="1" applyAlignment="1">
      <alignment horizontal="right" vertical="top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68" applyFont="1" applyAlignment="1">
      <alignment horizontal="left"/>
    </xf>
    <xf numFmtId="0" fontId="6" fillId="0" borderId="11" xfId="68" applyFont="1" applyBorder="1">
      <alignment horizontal="right" indent="1"/>
    </xf>
    <xf numFmtId="0" fontId="6" fillId="0" borderId="13" xfId="68" applyFont="1" applyBorder="1">
      <alignment horizontal="right" indent="1"/>
    </xf>
    <xf numFmtId="0" fontId="6" fillId="0" borderId="15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52" applyFont="1" applyBorder="1" applyAlignment="1">
      <alignment horizontal="left" vertical="top" wrapText="1"/>
      <protection/>
    </xf>
    <xf numFmtId="0" fontId="7" fillId="0" borderId="1" xfId="52" applyFont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left" vertical="top" wrapText="1"/>
    </xf>
    <xf numFmtId="0" fontId="6" fillId="0" borderId="12" xfId="52" applyFont="1" applyBorder="1" applyAlignment="1">
      <alignment horizontal="left" vertical="top" wrapText="1"/>
      <protection/>
    </xf>
    <xf numFmtId="0" fontId="6" fillId="0" borderId="13" xfId="52" applyFont="1" applyBorder="1" applyAlignment="1">
      <alignment horizontal="left" vertical="top" wrapText="1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3" xfId="52" applyFont="1" applyBorder="1" applyAlignment="1">
      <alignment horizontal="left" vertical="top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showGridLines="0" tabSelected="1" zoomScale="124" zoomScaleNormal="124" zoomScalePageLayoutView="0" workbookViewId="0" topLeftCell="A238">
      <selection activeCell="A20" sqref="A20:N20"/>
    </sheetView>
  </sheetViews>
  <sheetFormatPr defaultColWidth="9.00390625" defaultRowHeight="12.75"/>
  <cols>
    <col min="1" max="1" width="3.375" style="5" customWidth="1"/>
    <col min="2" max="2" width="14.875" style="5" customWidth="1"/>
    <col min="3" max="3" width="28.875" style="5" customWidth="1"/>
    <col min="4" max="4" width="6.875" style="5" customWidth="1"/>
    <col min="5" max="5" width="10.625" style="6" customWidth="1"/>
    <col min="6" max="6" width="9.625" style="6" customWidth="1"/>
    <col min="7" max="7" width="8.875" style="6" customWidth="1"/>
    <col min="8" max="8" width="20.25390625" style="6" customWidth="1"/>
    <col min="9" max="9" width="8.375" style="6" customWidth="1"/>
    <col min="10" max="10" width="8.125" style="6" customWidth="1"/>
    <col min="11" max="11" width="8.75390625" style="6" customWidth="1"/>
    <col min="12" max="12" width="8.625" style="6" customWidth="1"/>
    <col min="13" max="13" width="6.875" style="6" customWidth="1"/>
    <col min="14" max="14" width="6.25390625" style="2" customWidth="1"/>
    <col min="15" max="15" width="9.125" style="2" customWidth="1"/>
    <col min="16" max="16" width="19.75390625" style="2" customWidth="1"/>
    <col min="17" max="16384" width="9.125" style="2" customWidth="1"/>
  </cols>
  <sheetData>
    <row r="1" spans="1:13" s="1" customFormat="1" ht="12">
      <c r="A1" s="7"/>
      <c r="B1" s="8"/>
      <c r="C1" s="7"/>
      <c r="E1" s="9"/>
      <c r="F1" s="10" t="s">
        <v>97</v>
      </c>
      <c r="G1" s="9"/>
      <c r="H1" s="11"/>
      <c r="I1" s="7"/>
      <c r="J1" s="7"/>
      <c r="K1" s="7"/>
      <c r="L1" s="7"/>
      <c r="M1" s="7"/>
    </row>
    <row r="2" spans="1:13" s="1" customFormat="1" ht="12">
      <c r="A2" s="12" t="s">
        <v>108</v>
      </c>
      <c r="B2" s="8"/>
      <c r="D2" s="11"/>
      <c r="F2" s="13" t="s">
        <v>104</v>
      </c>
      <c r="G2" s="13"/>
      <c r="I2" s="14"/>
      <c r="J2" s="12"/>
      <c r="K2" s="12" t="s">
        <v>109</v>
      </c>
      <c r="L2" s="12"/>
      <c r="M2" s="7"/>
    </row>
    <row r="3" spans="1:13" s="1" customFormat="1" ht="12">
      <c r="A3" s="12" t="s">
        <v>110</v>
      </c>
      <c r="E3" s="7"/>
      <c r="F3" s="7"/>
      <c r="G3" s="7"/>
      <c r="H3" s="7"/>
      <c r="I3" s="7"/>
      <c r="J3" s="12"/>
      <c r="K3" s="12" t="s">
        <v>103</v>
      </c>
      <c r="L3" s="12"/>
      <c r="M3" s="7"/>
    </row>
    <row r="4" spans="1:13" s="1" customFormat="1" ht="12">
      <c r="A4" s="7"/>
      <c r="B4" s="7"/>
      <c r="C4" s="7"/>
      <c r="F4" s="15" t="s">
        <v>126</v>
      </c>
      <c r="G4" s="7"/>
      <c r="I4" s="7"/>
      <c r="J4" s="7"/>
      <c r="K4" s="7"/>
      <c r="L4" s="7"/>
      <c r="M4" s="7"/>
    </row>
    <row r="5" spans="1:13" s="1" customFormat="1" ht="12">
      <c r="A5" s="7"/>
      <c r="B5" s="7"/>
      <c r="C5" s="7"/>
      <c r="F5" s="7" t="s">
        <v>105</v>
      </c>
      <c r="G5" s="7"/>
      <c r="I5" s="7"/>
      <c r="J5" s="7"/>
      <c r="K5" s="7"/>
      <c r="L5" s="7"/>
      <c r="M5" s="7"/>
    </row>
    <row r="6" spans="1:13" s="1" customFormat="1" ht="12">
      <c r="A6" s="7"/>
      <c r="B6" s="7"/>
      <c r="C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12">
      <c r="A7" s="7"/>
      <c r="B7" s="7"/>
      <c r="C7" s="16"/>
      <c r="D7" s="17" t="s">
        <v>98</v>
      </c>
      <c r="E7" s="18"/>
      <c r="F7" s="18"/>
      <c r="G7" s="18"/>
      <c r="H7" s="18"/>
      <c r="I7" s="14"/>
      <c r="J7" s="14"/>
      <c r="K7" s="14"/>
      <c r="L7" s="14"/>
      <c r="M7" s="7"/>
    </row>
    <row r="8" spans="1:13" s="1" customFormat="1" ht="12">
      <c r="A8" s="7"/>
      <c r="B8" s="7"/>
      <c r="C8" s="7"/>
      <c r="D8" s="19" t="s">
        <v>123</v>
      </c>
      <c r="E8" s="13"/>
      <c r="F8" s="13"/>
      <c r="G8" s="13"/>
      <c r="I8" s="14"/>
      <c r="J8" s="14"/>
      <c r="K8" s="14"/>
      <c r="L8" s="14"/>
      <c r="M8" s="7"/>
    </row>
    <row r="9" spans="1:13" s="1" customFormat="1" ht="7.5" customHeight="1">
      <c r="A9" s="20"/>
      <c r="B9" s="20"/>
      <c r="C9" s="7"/>
      <c r="E9" s="7"/>
      <c r="F9" s="7"/>
      <c r="G9" s="7"/>
      <c r="H9" s="7"/>
      <c r="I9" s="7"/>
      <c r="J9" s="7"/>
      <c r="M9" s="7"/>
    </row>
    <row r="10" spans="1:14" ht="12">
      <c r="A10" s="71" t="s">
        <v>99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0" ht="12">
      <c r="A11" s="21" t="s">
        <v>113</v>
      </c>
      <c r="B11" s="22"/>
      <c r="C11" s="72">
        <v>3284005.02</v>
      </c>
      <c r="D11" s="72"/>
      <c r="E11" s="72"/>
      <c r="F11" s="12" t="s">
        <v>112</v>
      </c>
      <c r="G11" s="23"/>
      <c r="H11" s="23"/>
      <c r="I11" s="23"/>
      <c r="J11" s="23"/>
    </row>
    <row r="12" spans="1:10" ht="12">
      <c r="A12" s="21" t="s">
        <v>122</v>
      </c>
      <c r="B12" s="22"/>
      <c r="C12" s="24"/>
      <c r="D12" s="73">
        <v>515329</v>
      </c>
      <c r="E12" s="73"/>
      <c r="F12" s="12" t="s">
        <v>112</v>
      </c>
      <c r="G12" s="23"/>
      <c r="H12" s="23"/>
      <c r="I12" s="23"/>
      <c r="J12" s="23"/>
    </row>
    <row r="13" spans="1:10" ht="12">
      <c r="A13" s="21" t="s">
        <v>100</v>
      </c>
      <c r="B13" s="2"/>
      <c r="C13" s="25"/>
      <c r="D13" s="26"/>
      <c r="E13" s="27"/>
      <c r="F13" s="28"/>
      <c r="G13" s="29"/>
      <c r="H13" s="29"/>
      <c r="I13" s="23"/>
      <c r="J13" s="23"/>
    </row>
    <row r="14" spans="1:14" ht="11.25" customHeight="1">
      <c r="A14" s="7"/>
      <c r="B14" s="12"/>
      <c r="C14" s="12"/>
      <c r="D14" s="7"/>
      <c r="E14" s="23"/>
      <c r="F14" s="23"/>
      <c r="G14" s="23"/>
      <c r="H14" s="24"/>
      <c r="I14" s="23"/>
      <c r="J14" s="23"/>
      <c r="K14" s="23"/>
      <c r="L14" s="23"/>
      <c r="M14" s="23"/>
      <c r="N14" s="2" t="s">
        <v>112</v>
      </c>
    </row>
    <row r="15" spans="1:14" ht="12.75" customHeight="1">
      <c r="A15" s="67" t="s">
        <v>106</v>
      </c>
      <c r="B15" s="67" t="s">
        <v>119</v>
      </c>
      <c r="C15" s="69" t="s">
        <v>124</v>
      </c>
      <c r="D15" s="69" t="s">
        <v>120</v>
      </c>
      <c r="E15" s="56" t="s">
        <v>101</v>
      </c>
      <c r="F15" s="57"/>
      <c r="G15" s="58"/>
      <c r="H15" s="69" t="s">
        <v>107</v>
      </c>
      <c r="I15" s="56" t="s">
        <v>102</v>
      </c>
      <c r="J15" s="62"/>
      <c r="K15" s="62"/>
      <c r="L15" s="63"/>
      <c r="M15" s="74" t="s">
        <v>121</v>
      </c>
      <c r="N15" s="63"/>
    </row>
    <row r="16" spans="1:14" s="3" customFormat="1" ht="38.25" customHeight="1">
      <c r="A16" s="70"/>
      <c r="B16" s="70"/>
      <c r="C16" s="70"/>
      <c r="D16" s="70"/>
      <c r="E16" s="59"/>
      <c r="F16" s="60"/>
      <c r="G16" s="61"/>
      <c r="H16" s="70"/>
      <c r="I16" s="64"/>
      <c r="J16" s="65"/>
      <c r="K16" s="65"/>
      <c r="L16" s="66"/>
      <c r="M16" s="64"/>
      <c r="N16" s="66"/>
    </row>
    <row r="17" spans="1:14" s="3" customFormat="1" ht="12.75" customHeight="1">
      <c r="A17" s="70"/>
      <c r="B17" s="70"/>
      <c r="C17" s="70"/>
      <c r="D17" s="70"/>
      <c r="E17" s="30" t="s">
        <v>115</v>
      </c>
      <c r="F17" s="30" t="s">
        <v>117</v>
      </c>
      <c r="G17" s="69" t="s">
        <v>125</v>
      </c>
      <c r="H17" s="70"/>
      <c r="I17" s="69" t="s">
        <v>115</v>
      </c>
      <c r="J17" s="69" t="s">
        <v>118</v>
      </c>
      <c r="K17" s="30" t="s">
        <v>117</v>
      </c>
      <c r="L17" s="69" t="s">
        <v>125</v>
      </c>
      <c r="M17" s="67" t="s">
        <v>111</v>
      </c>
      <c r="N17" s="69" t="s">
        <v>115</v>
      </c>
    </row>
    <row r="18" spans="1:14" s="3" customFormat="1" ht="11.25" customHeight="1">
      <c r="A18" s="68"/>
      <c r="B18" s="68"/>
      <c r="C18" s="68"/>
      <c r="D18" s="68"/>
      <c r="E18" s="31" t="s">
        <v>114</v>
      </c>
      <c r="F18" s="30" t="s">
        <v>116</v>
      </c>
      <c r="G18" s="68"/>
      <c r="H18" s="68"/>
      <c r="I18" s="68"/>
      <c r="J18" s="68"/>
      <c r="K18" s="30" t="s">
        <v>116</v>
      </c>
      <c r="L18" s="68"/>
      <c r="M18" s="68"/>
      <c r="N18" s="68"/>
    </row>
    <row r="19" spans="1:20" ht="12">
      <c r="A19" s="32">
        <v>1</v>
      </c>
      <c r="B19" s="32">
        <v>2</v>
      </c>
      <c r="C19" s="32">
        <v>3</v>
      </c>
      <c r="D19" s="32">
        <v>4</v>
      </c>
      <c r="E19" s="32">
        <v>5</v>
      </c>
      <c r="F19" s="32">
        <v>6</v>
      </c>
      <c r="G19" s="32">
        <v>7</v>
      </c>
      <c r="H19" s="32">
        <v>8</v>
      </c>
      <c r="I19" s="32">
        <v>9</v>
      </c>
      <c r="J19" s="32">
        <v>10</v>
      </c>
      <c r="K19" s="32">
        <v>11</v>
      </c>
      <c r="L19" s="32">
        <v>12</v>
      </c>
      <c r="M19" s="32">
        <v>13</v>
      </c>
      <c r="N19" s="32">
        <v>14</v>
      </c>
      <c r="O19" s="4"/>
      <c r="P19" s="4"/>
      <c r="Q19" s="4"/>
      <c r="R19" s="4"/>
      <c r="S19" s="4"/>
      <c r="T19" s="4"/>
    </row>
    <row r="20" spans="1:14" ht="17.25" customHeight="1">
      <c r="A20" s="75" t="s">
        <v>128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60">
      <c r="A21" s="33">
        <v>1</v>
      </c>
      <c r="B21" s="34" t="s">
        <v>129</v>
      </c>
      <c r="C21" s="34" t="s">
        <v>130</v>
      </c>
      <c r="D21" s="33">
        <v>4.65</v>
      </c>
      <c r="E21" s="35" t="s">
        <v>131</v>
      </c>
      <c r="F21" s="35">
        <v>41.43</v>
      </c>
      <c r="G21" s="35" t="s">
        <v>132</v>
      </c>
      <c r="H21" s="36" t="s">
        <v>133</v>
      </c>
      <c r="I21" s="37">
        <v>9161</v>
      </c>
      <c r="J21" s="35">
        <v>8587</v>
      </c>
      <c r="K21" s="35">
        <v>574</v>
      </c>
      <c r="L21" s="35" t="str">
        <f>IF(4.65*0=0," ",TEXT(,ROUND((4.65*0*1),2)))</f>
        <v> </v>
      </c>
      <c r="M21" s="35">
        <v>14.38</v>
      </c>
      <c r="N21" s="35">
        <v>66.87</v>
      </c>
    </row>
    <row r="22" spans="1:14" ht="60">
      <c r="A22" s="33">
        <v>2</v>
      </c>
      <c r="B22" s="34" t="s">
        <v>134</v>
      </c>
      <c r="C22" s="34" t="s">
        <v>135</v>
      </c>
      <c r="D22" s="33">
        <v>4.2</v>
      </c>
      <c r="E22" s="35" t="s">
        <v>136</v>
      </c>
      <c r="F22" s="35" t="s">
        <v>137</v>
      </c>
      <c r="G22" s="35" t="s">
        <v>132</v>
      </c>
      <c r="H22" s="36" t="s">
        <v>138</v>
      </c>
      <c r="I22" s="37">
        <v>8355</v>
      </c>
      <c r="J22" s="35">
        <v>5050</v>
      </c>
      <c r="K22" s="35" t="s">
        <v>139</v>
      </c>
      <c r="L22" s="35" t="str">
        <f>IF(4.2*0=0," ",TEXT(,ROUND((4.2*0*1),2)))</f>
        <v> </v>
      </c>
      <c r="M22" s="35" t="s">
        <v>140</v>
      </c>
      <c r="N22" s="35" t="s">
        <v>141</v>
      </c>
    </row>
    <row r="23" spans="1:14" ht="60">
      <c r="A23" s="33">
        <v>3</v>
      </c>
      <c r="B23" s="34" t="s">
        <v>142</v>
      </c>
      <c r="C23" s="34" t="s">
        <v>143</v>
      </c>
      <c r="D23" s="33" t="s">
        <v>144</v>
      </c>
      <c r="E23" s="35" t="s">
        <v>145</v>
      </c>
      <c r="F23" s="35"/>
      <c r="G23" s="35" t="s">
        <v>132</v>
      </c>
      <c r="H23" s="36" t="s">
        <v>146</v>
      </c>
      <c r="I23" s="37">
        <v>21401</v>
      </c>
      <c r="J23" s="35">
        <v>21401</v>
      </c>
      <c r="K23" s="35"/>
      <c r="L23" s="35" t="str">
        <f>IF(0.837*0=0," ",TEXT(,ROUND((0.837*0*1),2)))</f>
        <v> </v>
      </c>
      <c r="M23" s="35">
        <v>214.32</v>
      </c>
      <c r="N23" s="35">
        <v>179.39</v>
      </c>
    </row>
    <row r="24" spans="1:14" ht="60">
      <c r="A24" s="33">
        <v>4</v>
      </c>
      <c r="B24" s="34" t="s">
        <v>147</v>
      </c>
      <c r="C24" s="34" t="s">
        <v>148</v>
      </c>
      <c r="D24" s="33">
        <v>83.7</v>
      </c>
      <c r="E24" s="35" t="s">
        <v>149</v>
      </c>
      <c r="F24" s="35"/>
      <c r="G24" s="35" t="s">
        <v>150</v>
      </c>
      <c r="H24" s="36" t="s">
        <v>151</v>
      </c>
      <c r="I24" s="37">
        <v>20332</v>
      </c>
      <c r="J24" s="35">
        <v>10199</v>
      </c>
      <c r="K24" s="35"/>
      <c r="L24" s="35" t="str">
        <f>IF(83.7*16.4=0," ",TEXT(,ROUND((83.7*16.4*7.38),2)))</f>
        <v>10130.38</v>
      </c>
      <c r="M24" s="35">
        <v>1.03</v>
      </c>
      <c r="N24" s="35">
        <v>86.21</v>
      </c>
    </row>
    <row r="25" spans="1:14" ht="96">
      <c r="A25" s="33">
        <v>5</v>
      </c>
      <c r="B25" s="34" t="s">
        <v>152</v>
      </c>
      <c r="C25" s="34" t="s">
        <v>153</v>
      </c>
      <c r="D25" s="33">
        <v>4.65</v>
      </c>
      <c r="E25" s="35" t="s">
        <v>154</v>
      </c>
      <c r="F25" s="35" t="s">
        <v>155</v>
      </c>
      <c r="G25" s="35" t="s">
        <v>156</v>
      </c>
      <c r="H25" s="36" t="s">
        <v>157</v>
      </c>
      <c r="I25" s="37">
        <v>12803</v>
      </c>
      <c r="J25" s="35">
        <v>8998</v>
      </c>
      <c r="K25" s="35" t="s">
        <v>158</v>
      </c>
      <c r="L25" s="35" t="str">
        <f>IF(4.65*0=0," ",TEXT(,ROUND((4.65*0*5.67),2)))</f>
        <v> </v>
      </c>
      <c r="M25" s="35" t="s">
        <v>159</v>
      </c>
      <c r="N25" s="35" t="s">
        <v>160</v>
      </c>
    </row>
    <row r="26" spans="1:14" ht="156">
      <c r="A26" s="33">
        <v>6</v>
      </c>
      <c r="B26" s="34" t="s">
        <v>161</v>
      </c>
      <c r="C26" s="34" t="s">
        <v>162</v>
      </c>
      <c r="D26" s="33">
        <v>4.65</v>
      </c>
      <c r="E26" s="35" t="s">
        <v>163</v>
      </c>
      <c r="F26" s="35" t="s">
        <v>164</v>
      </c>
      <c r="G26" s="35" t="s">
        <v>165</v>
      </c>
      <c r="H26" s="36" t="s">
        <v>157</v>
      </c>
      <c r="I26" s="37">
        <v>24937</v>
      </c>
      <c r="J26" s="35">
        <v>21484</v>
      </c>
      <c r="K26" s="35" t="s">
        <v>166</v>
      </c>
      <c r="L26" s="35" t="str">
        <f>IF(4.65*0=0," ",TEXT(,ROUND((4.65*0*5.67),2)))</f>
        <v> </v>
      </c>
      <c r="M26" s="35" t="s">
        <v>167</v>
      </c>
      <c r="N26" s="35" t="s">
        <v>168</v>
      </c>
    </row>
    <row r="27" spans="1:14" ht="96">
      <c r="A27" s="33">
        <v>7</v>
      </c>
      <c r="B27" s="34" t="s">
        <v>169</v>
      </c>
      <c r="C27" s="34" t="s">
        <v>170</v>
      </c>
      <c r="D27" s="33">
        <v>0.01</v>
      </c>
      <c r="E27" s="35" t="s">
        <v>171</v>
      </c>
      <c r="F27" s="35" t="s">
        <v>172</v>
      </c>
      <c r="G27" s="35" t="s">
        <v>173</v>
      </c>
      <c r="H27" s="36" t="s">
        <v>174</v>
      </c>
      <c r="I27" s="37">
        <v>227</v>
      </c>
      <c r="J27" s="35">
        <v>132</v>
      </c>
      <c r="K27" s="35" t="s">
        <v>175</v>
      </c>
      <c r="L27" s="35" t="str">
        <f>IF(0.01*0=0," ",TEXT(,ROUND((0.01*0*8.17),2)))</f>
        <v> </v>
      </c>
      <c r="M27" s="35" t="s">
        <v>176</v>
      </c>
      <c r="N27" s="35" t="s">
        <v>177</v>
      </c>
    </row>
    <row r="28" spans="1:14" ht="60">
      <c r="A28" s="33">
        <v>8</v>
      </c>
      <c r="B28" s="34" t="s">
        <v>178</v>
      </c>
      <c r="C28" s="34" t="s">
        <v>179</v>
      </c>
      <c r="D28" s="33">
        <v>0.009</v>
      </c>
      <c r="E28" s="35" t="s">
        <v>180</v>
      </c>
      <c r="F28" s="35" t="s">
        <v>181</v>
      </c>
      <c r="G28" s="35" t="s">
        <v>132</v>
      </c>
      <c r="H28" s="36" t="s">
        <v>182</v>
      </c>
      <c r="I28" s="37">
        <v>146</v>
      </c>
      <c r="J28" s="35">
        <v>132</v>
      </c>
      <c r="K28" s="35" t="s">
        <v>183</v>
      </c>
      <c r="L28" s="35" t="str">
        <f>IF(0.009*0=0," ",TEXT(,ROUND((0.009*0*1),2)))</f>
        <v> </v>
      </c>
      <c r="M28" s="35" t="s">
        <v>184</v>
      </c>
      <c r="N28" s="35" t="s">
        <v>185</v>
      </c>
    </row>
    <row r="29" spans="1:14" ht="108">
      <c r="A29" s="33">
        <v>9</v>
      </c>
      <c r="B29" s="34" t="s">
        <v>186</v>
      </c>
      <c r="C29" s="34" t="s">
        <v>187</v>
      </c>
      <c r="D29" s="33">
        <v>0.64</v>
      </c>
      <c r="E29" s="35" t="s">
        <v>188</v>
      </c>
      <c r="F29" s="35" t="s">
        <v>189</v>
      </c>
      <c r="G29" s="35" t="s">
        <v>190</v>
      </c>
      <c r="H29" s="36" t="s">
        <v>191</v>
      </c>
      <c r="I29" s="37">
        <v>11030</v>
      </c>
      <c r="J29" s="35">
        <v>9377</v>
      </c>
      <c r="K29" s="35" t="s">
        <v>192</v>
      </c>
      <c r="L29" s="35" t="str">
        <f>IF(0.64*0=0," ",TEXT(,ROUND((0.64*0*5.75),2)))</f>
        <v> </v>
      </c>
      <c r="M29" s="35" t="s">
        <v>193</v>
      </c>
      <c r="N29" s="35" t="s">
        <v>194</v>
      </c>
    </row>
    <row r="30" spans="1:14" ht="72">
      <c r="A30" s="33">
        <v>10</v>
      </c>
      <c r="B30" s="34" t="s">
        <v>195</v>
      </c>
      <c r="C30" s="34" t="s">
        <v>196</v>
      </c>
      <c r="D30" s="33">
        <v>4.88</v>
      </c>
      <c r="E30" s="35" t="s">
        <v>197</v>
      </c>
      <c r="F30" s="35">
        <v>8.72</v>
      </c>
      <c r="G30" s="35" t="s">
        <v>198</v>
      </c>
      <c r="H30" s="36" t="s">
        <v>199</v>
      </c>
      <c r="I30" s="37">
        <v>24264</v>
      </c>
      <c r="J30" s="35">
        <v>23014</v>
      </c>
      <c r="K30" s="35">
        <v>491</v>
      </c>
      <c r="L30" s="35" t="str">
        <f>IF(4.88*25.17=0," ",TEXT(,ROUND((4.88*25.17*6.22),2)))</f>
        <v>764</v>
      </c>
      <c r="M30" s="35">
        <v>29.8</v>
      </c>
      <c r="N30" s="35">
        <v>145.42</v>
      </c>
    </row>
    <row r="31" spans="1:14" ht="84">
      <c r="A31" s="33">
        <v>11</v>
      </c>
      <c r="B31" s="34" t="s">
        <v>200</v>
      </c>
      <c r="C31" s="34" t="s">
        <v>201</v>
      </c>
      <c r="D31" s="33">
        <v>121.4</v>
      </c>
      <c r="E31" s="35">
        <v>3.28</v>
      </c>
      <c r="F31" s="35">
        <v>3.28</v>
      </c>
      <c r="G31" s="35" t="s">
        <v>132</v>
      </c>
      <c r="H31" s="36" t="s">
        <v>202</v>
      </c>
      <c r="I31" s="37">
        <v>4601</v>
      </c>
      <c r="J31" s="35"/>
      <c r="K31" s="35">
        <v>4601</v>
      </c>
      <c r="L31" s="35" t="str">
        <f>IF(121.4*0=0," ",TEXT(,ROUND((121.4*0*1),2)))</f>
        <v> </v>
      </c>
      <c r="M31" s="35"/>
      <c r="N31" s="35"/>
    </row>
    <row r="32" spans="1:14" ht="84">
      <c r="A32" s="33">
        <v>12</v>
      </c>
      <c r="B32" s="34" t="s">
        <v>203</v>
      </c>
      <c r="C32" s="34" t="s">
        <v>204</v>
      </c>
      <c r="D32" s="33">
        <v>121.4</v>
      </c>
      <c r="E32" s="35">
        <v>13.38</v>
      </c>
      <c r="F32" s="35">
        <v>13.38</v>
      </c>
      <c r="G32" s="35" t="s">
        <v>132</v>
      </c>
      <c r="H32" s="36" t="s">
        <v>205</v>
      </c>
      <c r="I32" s="37">
        <v>15542</v>
      </c>
      <c r="J32" s="35"/>
      <c r="K32" s="35">
        <v>15542</v>
      </c>
      <c r="L32" s="35" t="str">
        <f>IF(121.4*0=0," ",TEXT(,ROUND((121.4*0*1),2)))</f>
        <v> </v>
      </c>
      <c r="M32" s="35"/>
      <c r="N32" s="35"/>
    </row>
    <row r="33" spans="1:14" ht="24">
      <c r="A33" s="76" t="s">
        <v>206</v>
      </c>
      <c r="B33" s="76"/>
      <c r="C33" s="76"/>
      <c r="D33" s="76"/>
      <c r="E33" s="76"/>
      <c r="F33" s="76"/>
      <c r="G33" s="76"/>
      <c r="H33" s="76"/>
      <c r="I33" s="37">
        <v>11783</v>
      </c>
      <c r="J33" s="35">
        <v>6588</v>
      </c>
      <c r="K33" s="35" t="s">
        <v>207</v>
      </c>
      <c r="L33" s="35">
        <v>1495</v>
      </c>
      <c r="M33" s="35"/>
      <c r="N33" s="35" t="s">
        <v>208</v>
      </c>
    </row>
    <row r="34" spans="1:14" ht="24">
      <c r="A34" s="76" t="s">
        <v>209</v>
      </c>
      <c r="B34" s="76"/>
      <c r="C34" s="76"/>
      <c r="D34" s="76"/>
      <c r="E34" s="76"/>
      <c r="F34" s="76"/>
      <c r="G34" s="76"/>
      <c r="H34" s="76"/>
      <c r="I34" s="37">
        <v>152799</v>
      </c>
      <c r="J34" s="35">
        <v>108374</v>
      </c>
      <c r="K34" s="35" t="s">
        <v>210</v>
      </c>
      <c r="L34" s="35">
        <v>10892</v>
      </c>
      <c r="M34" s="35"/>
      <c r="N34" s="35" t="s">
        <v>208</v>
      </c>
    </row>
    <row r="35" spans="1:14" ht="12">
      <c r="A35" s="76" t="s">
        <v>211</v>
      </c>
      <c r="B35" s="76"/>
      <c r="C35" s="76"/>
      <c r="D35" s="76"/>
      <c r="E35" s="76"/>
      <c r="F35" s="76"/>
      <c r="G35" s="76"/>
      <c r="H35" s="76"/>
      <c r="I35" s="37">
        <v>101808</v>
      </c>
      <c r="J35" s="35"/>
      <c r="K35" s="35"/>
      <c r="L35" s="35"/>
      <c r="M35" s="35"/>
      <c r="N35" s="35"/>
    </row>
    <row r="36" spans="1:14" ht="12">
      <c r="A36" s="76" t="s">
        <v>212</v>
      </c>
      <c r="B36" s="76"/>
      <c r="C36" s="76"/>
      <c r="D36" s="76"/>
      <c r="E36" s="76"/>
      <c r="F36" s="76"/>
      <c r="G36" s="76"/>
      <c r="H36" s="76"/>
      <c r="I36" s="37">
        <v>56130</v>
      </c>
      <c r="J36" s="35"/>
      <c r="K36" s="35"/>
      <c r="L36" s="35"/>
      <c r="M36" s="35"/>
      <c r="N36" s="35"/>
    </row>
    <row r="37" spans="1:14" ht="12">
      <c r="A37" s="75" t="s">
        <v>213</v>
      </c>
      <c r="B37" s="75"/>
      <c r="C37" s="75"/>
      <c r="D37" s="75"/>
      <c r="E37" s="75"/>
      <c r="F37" s="75"/>
      <c r="G37" s="75"/>
      <c r="H37" s="75"/>
      <c r="I37" s="37"/>
      <c r="J37" s="35"/>
      <c r="K37" s="35"/>
      <c r="L37" s="35"/>
      <c r="M37" s="35"/>
      <c r="N37" s="35"/>
    </row>
    <row r="38" spans="1:14" ht="21.75" customHeight="1">
      <c r="A38" s="76" t="s">
        <v>214</v>
      </c>
      <c r="B38" s="76"/>
      <c r="C38" s="76"/>
      <c r="D38" s="76"/>
      <c r="E38" s="76"/>
      <c r="F38" s="76"/>
      <c r="G38" s="76"/>
      <c r="H38" s="76"/>
      <c r="I38" s="37">
        <v>36922</v>
      </c>
      <c r="J38" s="35"/>
      <c r="K38" s="35"/>
      <c r="L38" s="35"/>
      <c r="M38" s="35"/>
      <c r="N38" s="35" t="s">
        <v>215</v>
      </c>
    </row>
    <row r="39" spans="1:14" ht="12">
      <c r="A39" s="76" t="s">
        <v>216</v>
      </c>
      <c r="B39" s="76"/>
      <c r="C39" s="76"/>
      <c r="D39" s="76"/>
      <c r="E39" s="76"/>
      <c r="F39" s="76"/>
      <c r="G39" s="76"/>
      <c r="H39" s="76"/>
      <c r="I39" s="37">
        <v>75229</v>
      </c>
      <c r="J39" s="35"/>
      <c r="K39" s="35"/>
      <c r="L39" s="35"/>
      <c r="M39" s="35"/>
      <c r="N39" s="35">
        <v>265.6</v>
      </c>
    </row>
    <row r="40" spans="1:14" ht="24">
      <c r="A40" s="76" t="s">
        <v>217</v>
      </c>
      <c r="B40" s="76"/>
      <c r="C40" s="76"/>
      <c r="D40" s="76"/>
      <c r="E40" s="76"/>
      <c r="F40" s="76"/>
      <c r="G40" s="76"/>
      <c r="H40" s="76"/>
      <c r="I40" s="37">
        <v>81477</v>
      </c>
      <c r="J40" s="35"/>
      <c r="K40" s="35"/>
      <c r="L40" s="35"/>
      <c r="M40" s="35"/>
      <c r="N40" s="35" t="s">
        <v>218</v>
      </c>
    </row>
    <row r="41" spans="1:14" ht="24">
      <c r="A41" s="76" t="s">
        <v>219</v>
      </c>
      <c r="B41" s="76"/>
      <c r="C41" s="76"/>
      <c r="D41" s="76"/>
      <c r="E41" s="76"/>
      <c r="F41" s="76"/>
      <c r="G41" s="76"/>
      <c r="H41" s="76"/>
      <c r="I41" s="37">
        <v>424</v>
      </c>
      <c r="J41" s="35"/>
      <c r="K41" s="35"/>
      <c r="L41" s="35"/>
      <c r="M41" s="35"/>
      <c r="N41" s="35" t="s">
        <v>177</v>
      </c>
    </row>
    <row r="42" spans="1:14" ht="24">
      <c r="A42" s="76" t="s">
        <v>220</v>
      </c>
      <c r="B42" s="76"/>
      <c r="C42" s="76"/>
      <c r="D42" s="76"/>
      <c r="E42" s="76"/>
      <c r="F42" s="76"/>
      <c r="G42" s="76"/>
      <c r="H42" s="76"/>
      <c r="I42" s="37">
        <v>96542</v>
      </c>
      <c r="J42" s="35"/>
      <c r="K42" s="35"/>
      <c r="L42" s="35"/>
      <c r="M42" s="35"/>
      <c r="N42" s="35" t="s">
        <v>221</v>
      </c>
    </row>
    <row r="43" spans="1:14" ht="12">
      <c r="A43" s="76" t="s">
        <v>222</v>
      </c>
      <c r="B43" s="76"/>
      <c r="C43" s="76"/>
      <c r="D43" s="76"/>
      <c r="E43" s="76"/>
      <c r="F43" s="76"/>
      <c r="G43" s="76"/>
      <c r="H43" s="76"/>
      <c r="I43" s="37">
        <v>4601</v>
      </c>
      <c r="J43" s="35"/>
      <c r="K43" s="35"/>
      <c r="L43" s="35"/>
      <c r="M43" s="35"/>
      <c r="N43" s="35"/>
    </row>
    <row r="44" spans="1:14" ht="12">
      <c r="A44" s="76" t="s">
        <v>223</v>
      </c>
      <c r="B44" s="76"/>
      <c r="C44" s="76"/>
      <c r="D44" s="76"/>
      <c r="E44" s="76"/>
      <c r="F44" s="76"/>
      <c r="G44" s="76"/>
      <c r="H44" s="76"/>
      <c r="I44" s="37">
        <v>15542</v>
      </c>
      <c r="J44" s="35"/>
      <c r="K44" s="35"/>
      <c r="L44" s="35"/>
      <c r="M44" s="35"/>
      <c r="N44" s="35"/>
    </row>
    <row r="45" spans="1:14" ht="24">
      <c r="A45" s="76" t="s">
        <v>224</v>
      </c>
      <c r="B45" s="76"/>
      <c r="C45" s="76"/>
      <c r="D45" s="76"/>
      <c r="E45" s="76"/>
      <c r="F45" s="76"/>
      <c r="G45" s="76"/>
      <c r="H45" s="76"/>
      <c r="I45" s="37">
        <v>310737</v>
      </c>
      <c r="J45" s="35"/>
      <c r="K45" s="35"/>
      <c r="L45" s="35"/>
      <c r="M45" s="35"/>
      <c r="N45" s="35" t="s">
        <v>208</v>
      </c>
    </row>
    <row r="46" spans="1:14" ht="12">
      <c r="A46" s="76" t="s">
        <v>225</v>
      </c>
      <c r="B46" s="76"/>
      <c r="C46" s="76"/>
      <c r="D46" s="76"/>
      <c r="E46" s="76"/>
      <c r="F46" s="76"/>
      <c r="G46" s="76"/>
      <c r="H46" s="76"/>
      <c r="I46" s="37"/>
      <c r="J46" s="35"/>
      <c r="K46" s="35"/>
      <c r="L46" s="35"/>
      <c r="M46" s="35"/>
      <c r="N46" s="35"/>
    </row>
    <row r="47" spans="1:14" ht="12">
      <c r="A47" s="76" t="s">
        <v>226</v>
      </c>
      <c r="B47" s="76"/>
      <c r="C47" s="76"/>
      <c r="D47" s="76"/>
      <c r="E47" s="76"/>
      <c r="F47" s="76"/>
      <c r="G47" s="76"/>
      <c r="H47" s="76"/>
      <c r="I47" s="37">
        <v>10892</v>
      </c>
      <c r="J47" s="35"/>
      <c r="K47" s="35"/>
      <c r="L47" s="35"/>
      <c r="M47" s="35"/>
      <c r="N47" s="35"/>
    </row>
    <row r="48" spans="1:14" ht="12">
      <c r="A48" s="76" t="s">
        <v>227</v>
      </c>
      <c r="B48" s="76"/>
      <c r="C48" s="76"/>
      <c r="D48" s="76"/>
      <c r="E48" s="76"/>
      <c r="F48" s="76"/>
      <c r="G48" s="76"/>
      <c r="H48" s="76"/>
      <c r="I48" s="37">
        <v>33533</v>
      </c>
      <c r="J48" s="35"/>
      <c r="K48" s="35"/>
      <c r="L48" s="35"/>
      <c r="M48" s="35"/>
      <c r="N48" s="35"/>
    </row>
    <row r="49" spans="1:14" ht="12">
      <c r="A49" s="76" t="s">
        <v>228</v>
      </c>
      <c r="B49" s="76"/>
      <c r="C49" s="76"/>
      <c r="D49" s="76"/>
      <c r="E49" s="76"/>
      <c r="F49" s="76"/>
      <c r="G49" s="76"/>
      <c r="H49" s="76"/>
      <c r="I49" s="37">
        <v>111252</v>
      </c>
      <c r="J49" s="35"/>
      <c r="K49" s="35"/>
      <c r="L49" s="35"/>
      <c r="M49" s="35"/>
      <c r="N49" s="35"/>
    </row>
    <row r="50" spans="1:14" ht="12">
      <c r="A50" s="76" t="s">
        <v>229</v>
      </c>
      <c r="B50" s="76"/>
      <c r="C50" s="76"/>
      <c r="D50" s="76"/>
      <c r="E50" s="76"/>
      <c r="F50" s="76"/>
      <c r="G50" s="76"/>
      <c r="H50" s="76"/>
      <c r="I50" s="37">
        <v>101808</v>
      </c>
      <c r="J50" s="35"/>
      <c r="K50" s="35"/>
      <c r="L50" s="35"/>
      <c r="M50" s="35"/>
      <c r="N50" s="35"/>
    </row>
    <row r="51" spans="1:14" ht="12">
      <c r="A51" s="76" t="s">
        <v>230</v>
      </c>
      <c r="B51" s="76"/>
      <c r="C51" s="76"/>
      <c r="D51" s="76"/>
      <c r="E51" s="76"/>
      <c r="F51" s="76"/>
      <c r="G51" s="76"/>
      <c r="H51" s="76"/>
      <c r="I51" s="37">
        <v>56130</v>
      </c>
      <c r="J51" s="35"/>
      <c r="K51" s="35"/>
      <c r="L51" s="35"/>
      <c r="M51" s="35"/>
      <c r="N51" s="35"/>
    </row>
    <row r="52" spans="1:14" ht="24">
      <c r="A52" s="75" t="s">
        <v>231</v>
      </c>
      <c r="B52" s="75"/>
      <c r="C52" s="75"/>
      <c r="D52" s="75"/>
      <c r="E52" s="75"/>
      <c r="F52" s="75"/>
      <c r="G52" s="75"/>
      <c r="H52" s="75"/>
      <c r="I52" s="37">
        <v>310737</v>
      </c>
      <c r="J52" s="35"/>
      <c r="K52" s="35"/>
      <c r="L52" s="35"/>
      <c r="M52" s="35"/>
      <c r="N52" s="35" t="s">
        <v>208</v>
      </c>
    </row>
    <row r="53" spans="1:14" ht="17.25" customHeight="1">
      <c r="A53" s="75" t="s">
        <v>232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ht="72">
      <c r="A54" s="33">
        <v>13</v>
      </c>
      <c r="B54" s="34" t="s">
        <v>233</v>
      </c>
      <c r="C54" s="34" t="s">
        <v>234</v>
      </c>
      <c r="D54" s="33">
        <v>0.017</v>
      </c>
      <c r="E54" s="35" t="s">
        <v>235</v>
      </c>
      <c r="F54" s="35" t="s">
        <v>236</v>
      </c>
      <c r="G54" s="35" t="s">
        <v>237</v>
      </c>
      <c r="H54" s="36" t="s">
        <v>238</v>
      </c>
      <c r="I54" s="37">
        <v>8735</v>
      </c>
      <c r="J54" s="35">
        <v>1563</v>
      </c>
      <c r="K54" s="35" t="s">
        <v>239</v>
      </c>
      <c r="L54" s="35" t="str">
        <f>IF(0.017*82382.02=0," ",TEXT(,ROUND((0.017*82382.02*4.63),2)))</f>
        <v>6484.29</v>
      </c>
      <c r="M54" s="35" t="s">
        <v>240</v>
      </c>
      <c r="N54" s="35" t="s">
        <v>241</v>
      </c>
    </row>
    <row r="55" spans="1:14" ht="132">
      <c r="A55" s="33">
        <v>14</v>
      </c>
      <c r="B55" s="34" t="s">
        <v>242</v>
      </c>
      <c r="C55" s="34" t="s">
        <v>243</v>
      </c>
      <c r="D55" s="33">
        <v>0.761</v>
      </c>
      <c r="E55" s="35" t="s">
        <v>244</v>
      </c>
      <c r="F55" s="35" t="s">
        <v>245</v>
      </c>
      <c r="G55" s="35" t="s">
        <v>246</v>
      </c>
      <c r="H55" s="36" t="s">
        <v>247</v>
      </c>
      <c r="I55" s="37">
        <v>5104</v>
      </c>
      <c r="J55" s="35">
        <v>1990</v>
      </c>
      <c r="K55" s="35" t="s">
        <v>248</v>
      </c>
      <c r="L55" s="35" t="str">
        <f>IF(0.761*85.51=0," ",TEXT(,ROUND((0.761*85.51*5.55),2)))</f>
        <v>361.16</v>
      </c>
      <c r="M55" s="35" t="s">
        <v>249</v>
      </c>
      <c r="N55" s="35" t="s">
        <v>250</v>
      </c>
    </row>
    <row r="56" spans="1:14" ht="84">
      <c r="A56" s="33">
        <v>15</v>
      </c>
      <c r="B56" s="34" t="s">
        <v>251</v>
      </c>
      <c r="C56" s="34" t="s">
        <v>252</v>
      </c>
      <c r="D56" s="33">
        <v>0.761</v>
      </c>
      <c r="E56" s="35">
        <v>7008.5</v>
      </c>
      <c r="F56" s="35"/>
      <c r="G56" s="35" t="s">
        <v>253</v>
      </c>
      <c r="H56" s="36" t="s">
        <v>254</v>
      </c>
      <c r="I56" s="37">
        <v>52962</v>
      </c>
      <c r="J56" s="35"/>
      <c r="K56" s="35"/>
      <c r="L56" s="35" t="str">
        <f>IF(0.761*7008.5=0," ",TEXT(,ROUND((0.761*7008.5*9.931),2)))</f>
        <v>52966.68</v>
      </c>
      <c r="M56" s="35"/>
      <c r="N56" s="35"/>
    </row>
    <row r="57" spans="1:14" ht="132">
      <c r="A57" s="33">
        <v>16</v>
      </c>
      <c r="B57" s="34" t="s">
        <v>255</v>
      </c>
      <c r="C57" s="34" t="s">
        <v>256</v>
      </c>
      <c r="D57" s="33">
        <v>0.047</v>
      </c>
      <c r="E57" s="35" t="s">
        <v>257</v>
      </c>
      <c r="F57" s="35" t="s">
        <v>258</v>
      </c>
      <c r="G57" s="35" t="s">
        <v>259</v>
      </c>
      <c r="H57" s="36" t="s">
        <v>260</v>
      </c>
      <c r="I57" s="37">
        <v>2299</v>
      </c>
      <c r="J57" s="35">
        <v>247</v>
      </c>
      <c r="K57" s="35" t="s">
        <v>261</v>
      </c>
      <c r="L57" s="35" t="str">
        <f>IF(0.047*7518.35=0," ",TEXT(,ROUND((0.047*7518.35*5.44),2)))</f>
        <v>1922.29</v>
      </c>
      <c r="M57" s="35" t="s">
        <v>262</v>
      </c>
      <c r="N57" s="35" t="s">
        <v>263</v>
      </c>
    </row>
    <row r="58" spans="1:14" ht="72">
      <c r="A58" s="33">
        <v>17</v>
      </c>
      <c r="B58" s="34" t="s">
        <v>264</v>
      </c>
      <c r="C58" s="34" t="s">
        <v>265</v>
      </c>
      <c r="D58" s="33">
        <v>0.047</v>
      </c>
      <c r="E58" s="35" t="s">
        <v>266</v>
      </c>
      <c r="F58" s="35">
        <v>5.23</v>
      </c>
      <c r="G58" s="35" t="s">
        <v>267</v>
      </c>
      <c r="H58" s="36" t="s">
        <v>268</v>
      </c>
      <c r="I58" s="37">
        <v>238</v>
      </c>
      <c r="J58" s="35">
        <v>33</v>
      </c>
      <c r="K58" s="35"/>
      <c r="L58" s="35" t="str">
        <f>IF(0.047*883.33=0," ",TEXT(,ROUND((0.047*883.33*5),2)))</f>
        <v>207.58</v>
      </c>
      <c r="M58" s="35">
        <v>4.52</v>
      </c>
      <c r="N58" s="35">
        <v>0.21</v>
      </c>
    </row>
    <row r="59" spans="1:14" ht="168">
      <c r="A59" s="33">
        <v>18</v>
      </c>
      <c r="B59" s="34" t="s">
        <v>269</v>
      </c>
      <c r="C59" s="34" t="s">
        <v>270</v>
      </c>
      <c r="D59" s="33">
        <v>0.33</v>
      </c>
      <c r="E59" s="35" t="s">
        <v>271</v>
      </c>
      <c r="F59" s="35" t="s">
        <v>272</v>
      </c>
      <c r="G59" s="35" t="s">
        <v>273</v>
      </c>
      <c r="H59" s="36" t="s">
        <v>274</v>
      </c>
      <c r="I59" s="37">
        <v>1400</v>
      </c>
      <c r="J59" s="35">
        <v>428</v>
      </c>
      <c r="K59" s="35">
        <v>53</v>
      </c>
      <c r="L59" s="35" t="str">
        <f>IF(0.33*562.56=0," ",TEXT(,ROUND((0.33*562.56*4.94),2)))</f>
        <v>917.09</v>
      </c>
      <c r="M59" s="35" t="s">
        <v>275</v>
      </c>
      <c r="N59" s="35" t="s">
        <v>276</v>
      </c>
    </row>
    <row r="60" spans="1:14" ht="120">
      <c r="A60" s="33">
        <v>19</v>
      </c>
      <c r="B60" s="34" t="s">
        <v>277</v>
      </c>
      <c r="C60" s="34" t="s">
        <v>278</v>
      </c>
      <c r="D60" s="33">
        <v>13.24</v>
      </c>
      <c r="E60" s="35" t="s">
        <v>279</v>
      </c>
      <c r="F60" s="35" t="s">
        <v>280</v>
      </c>
      <c r="G60" s="35" t="s">
        <v>281</v>
      </c>
      <c r="H60" s="36" t="s">
        <v>282</v>
      </c>
      <c r="I60" s="37">
        <v>158268</v>
      </c>
      <c r="J60" s="35">
        <v>50140</v>
      </c>
      <c r="K60" s="35" t="s">
        <v>283</v>
      </c>
      <c r="L60" s="35" t="str">
        <f>IF(13.24*2062.26=0," ",TEXT(,ROUND((13.24*2062.26*3.71),2)))</f>
        <v>101299.04</v>
      </c>
      <c r="M60" s="35" t="s">
        <v>284</v>
      </c>
      <c r="N60" s="35" t="s">
        <v>285</v>
      </c>
    </row>
    <row r="61" spans="1:14" ht="120">
      <c r="A61" s="33">
        <v>20</v>
      </c>
      <c r="B61" s="34" t="s">
        <v>286</v>
      </c>
      <c r="C61" s="34" t="s">
        <v>287</v>
      </c>
      <c r="D61" s="33">
        <v>11.24</v>
      </c>
      <c r="E61" s="35" t="s">
        <v>288</v>
      </c>
      <c r="F61" s="35">
        <v>33.51</v>
      </c>
      <c r="G61" s="35" t="s">
        <v>289</v>
      </c>
      <c r="H61" s="36" t="s">
        <v>290</v>
      </c>
      <c r="I61" s="37">
        <v>128223</v>
      </c>
      <c r="J61" s="35">
        <v>40089</v>
      </c>
      <c r="K61" s="35">
        <v>5219</v>
      </c>
      <c r="L61" s="35" t="str">
        <f>IF(11.24*2189=0," ",TEXT(,ROUND((11.24*2189*3.37),2)))</f>
        <v>82916.69</v>
      </c>
      <c r="M61" s="35">
        <v>25.875</v>
      </c>
      <c r="N61" s="35">
        <v>290.84</v>
      </c>
    </row>
    <row r="62" spans="1:14" ht="144">
      <c r="A62" s="33">
        <v>21</v>
      </c>
      <c r="B62" s="34" t="s">
        <v>291</v>
      </c>
      <c r="C62" s="34" t="s">
        <v>292</v>
      </c>
      <c r="D62" s="33">
        <v>0.17</v>
      </c>
      <c r="E62" s="35" t="s">
        <v>293</v>
      </c>
      <c r="F62" s="35">
        <v>92.17</v>
      </c>
      <c r="G62" s="35" t="s">
        <v>294</v>
      </c>
      <c r="H62" s="36" t="s">
        <v>295</v>
      </c>
      <c r="I62" s="37">
        <v>7884</v>
      </c>
      <c r="J62" s="35">
        <v>1859</v>
      </c>
      <c r="K62" s="35">
        <v>228</v>
      </c>
      <c r="L62" s="35" t="str">
        <f>IF(0.17*4663.03=0," ",TEXT(,ROUND((0.17*4663.03*7.31),2)))</f>
        <v>5794.75</v>
      </c>
      <c r="M62" s="35">
        <v>78.2</v>
      </c>
      <c r="N62" s="35">
        <v>13.29</v>
      </c>
    </row>
    <row r="63" spans="1:14" ht="72">
      <c r="A63" s="33">
        <v>22</v>
      </c>
      <c r="B63" s="34" t="s">
        <v>296</v>
      </c>
      <c r="C63" s="34" t="s">
        <v>297</v>
      </c>
      <c r="D63" s="33">
        <v>-0.2765</v>
      </c>
      <c r="E63" s="35">
        <v>1784</v>
      </c>
      <c r="F63" s="35"/>
      <c r="G63" s="35" t="s">
        <v>298</v>
      </c>
      <c r="H63" s="36" t="s">
        <v>299</v>
      </c>
      <c r="I63" s="37">
        <v>-4632</v>
      </c>
      <c r="J63" s="35"/>
      <c r="K63" s="35"/>
      <c r="L63" s="35" t="str">
        <f>IF(-0.2765*1784=0," ",TEXT(,ROUND((-0.2765*1784*9.396),2)))</f>
        <v>-4634.82</v>
      </c>
      <c r="M63" s="35"/>
      <c r="N63" s="35"/>
    </row>
    <row r="64" spans="1:14" ht="72">
      <c r="A64" s="33">
        <v>23</v>
      </c>
      <c r="B64" s="34" t="s">
        <v>300</v>
      </c>
      <c r="C64" s="34" t="s">
        <v>301</v>
      </c>
      <c r="D64" s="33" t="s">
        <v>302</v>
      </c>
      <c r="E64" s="35">
        <v>10675.31</v>
      </c>
      <c r="F64" s="35"/>
      <c r="G64" s="35" t="s">
        <v>303</v>
      </c>
      <c r="H64" s="36" t="s">
        <v>304</v>
      </c>
      <c r="I64" s="37">
        <v>4194</v>
      </c>
      <c r="J64" s="35"/>
      <c r="K64" s="35"/>
      <c r="L64" s="35" t="str">
        <f>IF(0.101745*10675.31=0," ",TEXT(,ROUND((0.101745*10675.31*3.862),2)))</f>
        <v>4194.75</v>
      </c>
      <c r="M64" s="35"/>
      <c r="N64" s="35"/>
    </row>
    <row r="65" spans="1:14" ht="144">
      <c r="A65" s="33">
        <v>24</v>
      </c>
      <c r="B65" s="34" t="s">
        <v>305</v>
      </c>
      <c r="C65" s="34" t="s">
        <v>306</v>
      </c>
      <c r="D65" s="33">
        <v>0.7</v>
      </c>
      <c r="E65" s="35" t="s">
        <v>307</v>
      </c>
      <c r="F65" s="35">
        <v>79.81</v>
      </c>
      <c r="G65" s="35" t="s">
        <v>308</v>
      </c>
      <c r="H65" s="36" t="s">
        <v>309</v>
      </c>
      <c r="I65" s="37">
        <v>35242</v>
      </c>
      <c r="J65" s="35">
        <v>16154</v>
      </c>
      <c r="K65" s="35">
        <v>795</v>
      </c>
      <c r="L65" s="35" t="str">
        <f>IF(0.7*4013.93=0," ",TEXT(,ROUND((0.7*4013.93*6.51),2)))</f>
        <v>18291.48</v>
      </c>
      <c r="M65" s="35">
        <v>164.45</v>
      </c>
      <c r="N65" s="35">
        <v>115.12</v>
      </c>
    </row>
    <row r="66" spans="1:14" ht="72">
      <c r="A66" s="33">
        <v>25</v>
      </c>
      <c r="B66" s="34" t="s">
        <v>296</v>
      </c>
      <c r="C66" s="34" t="s">
        <v>297</v>
      </c>
      <c r="D66" s="33">
        <v>-0.742</v>
      </c>
      <c r="E66" s="35">
        <v>1784</v>
      </c>
      <c r="F66" s="35"/>
      <c r="G66" s="35" t="s">
        <v>298</v>
      </c>
      <c r="H66" s="36" t="s">
        <v>299</v>
      </c>
      <c r="I66" s="37">
        <v>-12440</v>
      </c>
      <c r="J66" s="35"/>
      <c r="K66" s="35"/>
      <c r="L66" s="35" t="str">
        <f>IF(-0.742*1784=0," ",TEXT(,ROUND((-0.742*1784*9.396),2)))</f>
        <v>-12437.75</v>
      </c>
      <c r="M66" s="35"/>
      <c r="N66" s="35"/>
    </row>
    <row r="67" spans="1:14" ht="60">
      <c r="A67" s="33">
        <v>26</v>
      </c>
      <c r="B67" s="34" t="s">
        <v>310</v>
      </c>
      <c r="C67" s="34" t="s">
        <v>311</v>
      </c>
      <c r="D67" s="33">
        <v>1.04</v>
      </c>
      <c r="E67" s="35">
        <v>1375</v>
      </c>
      <c r="F67" s="35"/>
      <c r="G67" s="35" t="s">
        <v>312</v>
      </c>
      <c r="H67" s="36" t="s">
        <v>313</v>
      </c>
      <c r="I67" s="37">
        <v>5706</v>
      </c>
      <c r="J67" s="35"/>
      <c r="K67" s="35"/>
      <c r="L67" s="35" t="str">
        <f>IF(1.04*1375=0," ",TEXT(,ROUND((1.04*1375*3.99),2)))</f>
        <v>5705.7</v>
      </c>
      <c r="M67" s="35"/>
      <c r="N67" s="35"/>
    </row>
    <row r="68" spans="1:14" ht="120">
      <c r="A68" s="33">
        <v>27</v>
      </c>
      <c r="B68" s="34" t="s">
        <v>314</v>
      </c>
      <c r="C68" s="34" t="s">
        <v>315</v>
      </c>
      <c r="D68" s="33">
        <v>0.02</v>
      </c>
      <c r="E68" s="35" t="s">
        <v>316</v>
      </c>
      <c r="F68" s="35" t="s">
        <v>317</v>
      </c>
      <c r="G68" s="35" t="s">
        <v>318</v>
      </c>
      <c r="H68" s="36" t="s">
        <v>319</v>
      </c>
      <c r="I68" s="37">
        <v>379</v>
      </c>
      <c r="J68" s="35">
        <v>230</v>
      </c>
      <c r="K68" s="35" t="s">
        <v>320</v>
      </c>
      <c r="L68" s="35" t="str">
        <f>IF(0.02*1633.35=0," ",TEXT(,ROUND((0.02*1633.35*2.33),2)))</f>
        <v>76.11</v>
      </c>
      <c r="M68" s="35" t="s">
        <v>321</v>
      </c>
      <c r="N68" s="35" t="s">
        <v>322</v>
      </c>
    </row>
    <row r="69" spans="1:14" ht="60">
      <c r="A69" s="33">
        <v>28</v>
      </c>
      <c r="B69" s="34" t="s">
        <v>323</v>
      </c>
      <c r="C69" s="34" t="s">
        <v>324</v>
      </c>
      <c r="D69" s="33">
        <v>1.44</v>
      </c>
      <c r="E69" s="35">
        <v>161.47</v>
      </c>
      <c r="F69" s="35"/>
      <c r="G69" s="35" t="s">
        <v>325</v>
      </c>
      <c r="H69" s="36" t="s">
        <v>326</v>
      </c>
      <c r="I69" s="37">
        <v>1545</v>
      </c>
      <c r="J69" s="35"/>
      <c r="K69" s="35"/>
      <c r="L69" s="35" t="str">
        <f>IF(1.44*161.47=0," ",TEXT(,ROUND((1.44*161.47*6.633),2)))</f>
        <v>1542.28</v>
      </c>
      <c r="M69" s="35"/>
      <c r="N69" s="35"/>
    </row>
    <row r="70" spans="1:14" ht="72">
      <c r="A70" s="33">
        <v>29</v>
      </c>
      <c r="B70" s="34" t="s">
        <v>327</v>
      </c>
      <c r="C70" s="34" t="s">
        <v>328</v>
      </c>
      <c r="D70" s="33">
        <v>6.3</v>
      </c>
      <c r="E70" s="35" t="s">
        <v>329</v>
      </c>
      <c r="F70" s="35">
        <v>6.1</v>
      </c>
      <c r="G70" s="35" t="s">
        <v>330</v>
      </c>
      <c r="H70" s="36" t="s">
        <v>331</v>
      </c>
      <c r="I70" s="37">
        <v>40102</v>
      </c>
      <c r="J70" s="35">
        <v>7074</v>
      </c>
      <c r="K70" s="35">
        <v>434</v>
      </c>
      <c r="L70" s="35" t="str">
        <f>IF(6.3*957.91=0," ",TEXT(,ROUND((6.3*957.91*5.4),2)))</f>
        <v>32588.1</v>
      </c>
      <c r="M70" s="35">
        <v>8.36</v>
      </c>
      <c r="N70" s="35">
        <v>52.67</v>
      </c>
    </row>
    <row r="71" spans="1:14" ht="60">
      <c r="A71" s="33">
        <v>30</v>
      </c>
      <c r="B71" s="34" t="s">
        <v>332</v>
      </c>
      <c r="C71" s="34" t="s">
        <v>333</v>
      </c>
      <c r="D71" s="33">
        <v>-0.1386</v>
      </c>
      <c r="E71" s="35">
        <v>3390</v>
      </c>
      <c r="F71" s="35"/>
      <c r="G71" s="35" t="s">
        <v>334</v>
      </c>
      <c r="H71" s="36" t="s">
        <v>335</v>
      </c>
      <c r="I71" s="37">
        <v>-4776</v>
      </c>
      <c r="J71" s="35"/>
      <c r="K71" s="35"/>
      <c r="L71" s="35" t="str">
        <f>IF(-0.1386*3390=0," ",TEXT(,ROUND((-0.1386*3390*10.162),2)))</f>
        <v>-4774.66</v>
      </c>
      <c r="M71" s="35"/>
      <c r="N71" s="35"/>
    </row>
    <row r="72" spans="1:14" ht="60">
      <c r="A72" s="33">
        <v>31</v>
      </c>
      <c r="B72" s="34" t="s">
        <v>336</v>
      </c>
      <c r="C72" s="34" t="s">
        <v>337</v>
      </c>
      <c r="D72" s="33">
        <v>-724.5</v>
      </c>
      <c r="E72" s="35">
        <v>7.46</v>
      </c>
      <c r="F72" s="35"/>
      <c r="G72" s="35" t="s">
        <v>338</v>
      </c>
      <c r="H72" s="36" t="s">
        <v>339</v>
      </c>
      <c r="I72" s="37">
        <v>-27020</v>
      </c>
      <c r="J72" s="35"/>
      <c r="K72" s="35"/>
      <c r="L72" s="35" t="str">
        <f>IF(-724.5*7.46=0," ",TEXT(,ROUND((-724.5*7.46*4.999),2)))</f>
        <v>-27018.45</v>
      </c>
      <c r="M72" s="35"/>
      <c r="N72" s="35"/>
    </row>
    <row r="73" spans="1:14" ht="36">
      <c r="A73" s="33">
        <v>32</v>
      </c>
      <c r="B73" s="34" t="s">
        <v>340</v>
      </c>
      <c r="C73" s="34" t="s">
        <v>341</v>
      </c>
      <c r="D73" s="33">
        <v>403</v>
      </c>
      <c r="E73" s="35">
        <v>1.73</v>
      </c>
      <c r="F73" s="35"/>
      <c r="G73" s="35" t="s">
        <v>342</v>
      </c>
      <c r="H73" s="36" t="s">
        <v>343</v>
      </c>
      <c r="I73" s="37">
        <v>3889</v>
      </c>
      <c r="J73" s="35"/>
      <c r="K73" s="35"/>
      <c r="L73" s="35" t="str">
        <f>IF(403*1.73=0," ",TEXT(,ROUND((403*1.73*5.58),2)))</f>
        <v>3890.32</v>
      </c>
      <c r="M73" s="35"/>
      <c r="N73" s="35"/>
    </row>
    <row r="74" spans="1:14" ht="60">
      <c r="A74" s="33">
        <v>33</v>
      </c>
      <c r="B74" s="34" t="s">
        <v>344</v>
      </c>
      <c r="C74" s="34" t="s">
        <v>345</v>
      </c>
      <c r="D74" s="33">
        <v>72.45</v>
      </c>
      <c r="E74" s="35">
        <v>37.5</v>
      </c>
      <c r="F74" s="35"/>
      <c r="G74" s="35" t="s">
        <v>346</v>
      </c>
      <c r="H74" s="36" t="s">
        <v>347</v>
      </c>
      <c r="I74" s="37">
        <v>13286</v>
      </c>
      <c r="J74" s="35"/>
      <c r="K74" s="35"/>
      <c r="L74" s="35" t="str">
        <f>IF(72.45*37.5=0," ",TEXT(,ROUND((72.45*37.5*4.89),2)))</f>
        <v>13285.52</v>
      </c>
      <c r="M74" s="35"/>
      <c r="N74" s="35"/>
    </row>
    <row r="75" spans="1:14" ht="120">
      <c r="A75" s="33">
        <v>34</v>
      </c>
      <c r="B75" s="34" t="s">
        <v>348</v>
      </c>
      <c r="C75" s="34" t="s">
        <v>349</v>
      </c>
      <c r="D75" s="33">
        <v>0.7</v>
      </c>
      <c r="E75" s="35" t="s">
        <v>350</v>
      </c>
      <c r="F75" s="35" t="s">
        <v>351</v>
      </c>
      <c r="G75" s="35" t="s">
        <v>352</v>
      </c>
      <c r="H75" s="36" t="s">
        <v>353</v>
      </c>
      <c r="I75" s="37">
        <v>4154</v>
      </c>
      <c r="J75" s="35">
        <v>3816</v>
      </c>
      <c r="K75" s="35" t="s">
        <v>354</v>
      </c>
      <c r="L75" s="35" t="str">
        <f>IF(0.7*13.36=0," ",TEXT(,ROUND((0.7*13.36*2.92),2)))</f>
        <v>27.31</v>
      </c>
      <c r="M75" s="35" t="s">
        <v>355</v>
      </c>
      <c r="N75" s="35" t="s">
        <v>356</v>
      </c>
    </row>
    <row r="76" spans="1:14" ht="60">
      <c r="A76" s="33">
        <v>35</v>
      </c>
      <c r="B76" s="34" t="s">
        <v>300</v>
      </c>
      <c r="C76" s="34" t="s">
        <v>301</v>
      </c>
      <c r="D76" s="33" t="s">
        <v>357</v>
      </c>
      <c r="E76" s="35">
        <v>10675.31</v>
      </c>
      <c r="F76" s="35"/>
      <c r="G76" s="35" t="s">
        <v>303</v>
      </c>
      <c r="H76" s="36" t="s">
        <v>304</v>
      </c>
      <c r="I76" s="37">
        <v>17271</v>
      </c>
      <c r="J76" s="35"/>
      <c r="K76" s="35"/>
      <c r="L76" s="35" t="str">
        <f>IF(0.41895*10675.31=0," ",TEXT(,ROUND((0.41895*10675.31*3.862),2)))</f>
        <v>17272.49</v>
      </c>
      <c r="M76" s="35"/>
      <c r="N76" s="35"/>
    </row>
    <row r="77" spans="1:14" ht="60">
      <c r="A77" s="33">
        <v>36</v>
      </c>
      <c r="B77" s="34" t="s">
        <v>358</v>
      </c>
      <c r="C77" s="34" t="s">
        <v>359</v>
      </c>
      <c r="D77" s="33">
        <v>2.5</v>
      </c>
      <c r="E77" s="35" t="s">
        <v>360</v>
      </c>
      <c r="F77" s="35" t="s">
        <v>361</v>
      </c>
      <c r="G77" s="35" t="s">
        <v>362</v>
      </c>
      <c r="H77" s="36" t="s">
        <v>363</v>
      </c>
      <c r="I77" s="37">
        <v>41699</v>
      </c>
      <c r="J77" s="35">
        <v>10396</v>
      </c>
      <c r="K77" s="35" t="s">
        <v>364</v>
      </c>
      <c r="L77" s="35" t="str">
        <f>IF(2.5*2198.68=0," ",TEXT(,ROUND((2.5*2198.68*5.51),2)))</f>
        <v>30286.82</v>
      </c>
      <c r="M77" s="35" t="s">
        <v>365</v>
      </c>
      <c r="N77" s="35" t="s">
        <v>366</v>
      </c>
    </row>
    <row r="78" spans="1:14" ht="72">
      <c r="A78" s="33">
        <v>37</v>
      </c>
      <c r="B78" s="34" t="s">
        <v>367</v>
      </c>
      <c r="C78" s="34" t="s">
        <v>368</v>
      </c>
      <c r="D78" s="33">
        <v>3.8</v>
      </c>
      <c r="E78" s="35" t="s">
        <v>369</v>
      </c>
      <c r="F78" s="35" t="s">
        <v>370</v>
      </c>
      <c r="G78" s="35" t="s">
        <v>371</v>
      </c>
      <c r="H78" s="36" t="s">
        <v>372</v>
      </c>
      <c r="I78" s="37">
        <v>42924</v>
      </c>
      <c r="J78" s="35">
        <v>10594</v>
      </c>
      <c r="K78" s="35" t="s">
        <v>373</v>
      </c>
      <c r="L78" s="35" t="str">
        <f>IF(3.8*1570.73=0," ",TEXT(,ROUND((3.8*1570.73*5.25),2)))</f>
        <v>31336.06</v>
      </c>
      <c r="M78" s="35" t="s">
        <v>374</v>
      </c>
      <c r="N78" s="35" t="s">
        <v>375</v>
      </c>
    </row>
    <row r="79" spans="1:14" ht="132">
      <c r="A79" s="33">
        <v>38</v>
      </c>
      <c r="B79" s="34" t="s">
        <v>376</v>
      </c>
      <c r="C79" s="34" t="s">
        <v>377</v>
      </c>
      <c r="D79" s="33">
        <v>5.5</v>
      </c>
      <c r="E79" s="35" t="s">
        <v>378</v>
      </c>
      <c r="F79" s="35" t="s">
        <v>379</v>
      </c>
      <c r="G79" s="35" t="s">
        <v>380</v>
      </c>
      <c r="H79" s="36" t="s">
        <v>381</v>
      </c>
      <c r="I79" s="37">
        <v>224594</v>
      </c>
      <c r="J79" s="35">
        <v>34644</v>
      </c>
      <c r="K79" s="35" t="s">
        <v>382</v>
      </c>
      <c r="L79" s="35" t="str">
        <f>IF(5.5*9149.44=0," ",TEXT(,ROUND((5.5*9149.44*3.6),2)))</f>
        <v>181158.91</v>
      </c>
      <c r="M79" s="35" t="s">
        <v>383</v>
      </c>
      <c r="N79" s="35" t="s">
        <v>384</v>
      </c>
    </row>
    <row r="80" spans="1:14" ht="60">
      <c r="A80" s="33">
        <v>39</v>
      </c>
      <c r="B80" s="34" t="s">
        <v>385</v>
      </c>
      <c r="C80" s="34" t="s">
        <v>386</v>
      </c>
      <c r="D80" s="33">
        <v>-671</v>
      </c>
      <c r="E80" s="35">
        <v>70.5</v>
      </c>
      <c r="F80" s="35"/>
      <c r="G80" s="35" t="s">
        <v>387</v>
      </c>
      <c r="H80" s="36" t="s">
        <v>388</v>
      </c>
      <c r="I80" s="37">
        <v>-180614</v>
      </c>
      <c r="J80" s="35"/>
      <c r="K80" s="35"/>
      <c r="L80" s="35" t="str">
        <f>IF(-671*70.5=0," ",TEXT(,ROUND((-671*70.5*3.818),2)))</f>
        <v>-180612.4</v>
      </c>
      <c r="M80" s="35"/>
      <c r="N80" s="35"/>
    </row>
    <row r="81" spans="1:14" ht="60">
      <c r="A81" s="33">
        <v>40</v>
      </c>
      <c r="B81" s="34" t="s">
        <v>389</v>
      </c>
      <c r="C81" s="34" t="s">
        <v>390</v>
      </c>
      <c r="D81" s="33" t="s">
        <v>391</v>
      </c>
      <c r="E81" s="35">
        <v>10090.38</v>
      </c>
      <c r="F81" s="35"/>
      <c r="G81" s="35" t="s">
        <v>392</v>
      </c>
      <c r="H81" s="36" t="s">
        <v>393</v>
      </c>
      <c r="I81" s="37">
        <v>207297</v>
      </c>
      <c r="J81" s="35"/>
      <c r="K81" s="35"/>
      <c r="L81" s="35" t="str">
        <f>IF(4.79325*10090.38=0," ",TEXT(,ROUND((4.79325*10090.38*4.286),2)))</f>
        <v>207295.45</v>
      </c>
      <c r="M81" s="35"/>
      <c r="N81" s="35"/>
    </row>
    <row r="82" spans="1:14" ht="72">
      <c r="A82" s="33">
        <v>41</v>
      </c>
      <c r="B82" s="34" t="s">
        <v>394</v>
      </c>
      <c r="C82" s="34" t="s">
        <v>395</v>
      </c>
      <c r="D82" s="33">
        <v>72</v>
      </c>
      <c r="E82" s="35">
        <v>25</v>
      </c>
      <c r="F82" s="35"/>
      <c r="G82" s="35" t="s">
        <v>396</v>
      </c>
      <c r="H82" s="36" t="s">
        <v>397</v>
      </c>
      <c r="I82" s="37">
        <v>2947</v>
      </c>
      <c r="J82" s="35"/>
      <c r="K82" s="35"/>
      <c r="L82" s="35" t="str">
        <f>IF(72*25=0," ",TEXT(,ROUND((72*25*1.637),2)))</f>
        <v>2946.6</v>
      </c>
      <c r="M82" s="35"/>
      <c r="N82" s="35"/>
    </row>
    <row r="83" spans="1:14" ht="60">
      <c r="A83" s="33">
        <v>42</v>
      </c>
      <c r="B83" s="34" t="s">
        <v>398</v>
      </c>
      <c r="C83" s="34" t="s">
        <v>399</v>
      </c>
      <c r="D83" s="33">
        <v>0.56461</v>
      </c>
      <c r="E83" s="35">
        <v>10484</v>
      </c>
      <c r="F83" s="35"/>
      <c r="G83" s="35" t="s">
        <v>400</v>
      </c>
      <c r="H83" s="36" t="s">
        <v>401</v>
      </c>
      <c r="I83" s="37">
        <v>23197</v>
      </c>
      <c r="J83" s="35"/>
      <c r="K83" s="35"/>
      <c r="L83" s="35" t="str">
        <f>IF(0.56461*10484=0," ",TEXT(,ROUND((0.56461*10484*3.919),2)))</f>
        <v>23198.02</v>
      </c>
      <c r="M83" s="35"/>
      <c r="N83" s="35"/>
    </row>
    <row r="84" spans="1:14" ht="120">
      <c r="A84" s="33">
        <v>43</v>
      </c>
      <c r="B84" s="34" t="s">
        <v>402</v>
      </c>
      <c r="C84" s="34" t="s">
        <v>403</v>
      </c>
      <c r="D84" s="33" t="s">
        <v>404</v>
      </c>
      <c r="E84" s="35" t="s">
        <v>405</v>
      </c>
      <c r="F84" s="35">
        <v>0.55</v>
      </c>
      <c r="G84" s="35" t="s">
        <v>132</v>
      </c>
      <c r="H84" s="36" t="s">
        <v>406</v>
      </c>
      <c r="I84" s="37">
        <v>15332</v>
      </c>
      <c r="J84" s="35">
        <v>14937</v>
      </c>
      <c r="K84" s="35">
        <v>395</v>
      </c>
      <c r="L84" s="35" t="str">
        <f>IF(258.5*0=0," ",TEXT(,ROUND((258.5*0*1),2)))</f>
        <v> </v>
      </c>
      <c r="M84" s="35">
        <v>0.391</v>
      </c>
      <c r="N84" s="35">
        <v>101.07</v>
      </c>
    </row>
    <row r="85" spans="1:14" ht="120">
      <c r="A85" s="33">
        <v>44</v>
      </c>
      <c r="B85" s="34" t="s">
        <v>286</v>
      </c>
      <c r="C85" s="34" t="s">
        <v>407</v>
      </c>
      <c r="D85" s="33">
        <v>0.06</v>
      </c>
      <c r="E85" s="35" t="s">
        <v>288</v>
      </c>
      <c r="F85" s="35">
        <v>33.51</v>
      </c>
      <c r="G85" s="35" t="s">
        <v>289</v>
      </c>
      <c r="H85" s="36" t="s">
        <v>290</v>
      </c>
      <c r="I85" s="37">
        <v>688</v>
      </c>
      <c r="J85" s="35">
        <v>214</v>
      </c>
      <c r="K85" s="35">
        <v>33</v>
      </c>
      <c r="L85" s="35" t="str">
        <f>IF(0.06*2189=0," ",TEXT(,ROUND((0.06*2189*3.37),2)))</f>
        <v>442.62</v>
      </c>
      <c r="M85" s="35">
        <v>25.875</v>
      </c>
      <c r="N85" s="35">
        <v>1.55</v>
      </c>
    </row>
    <row r="86" spans="1:14" ht="120">
      <c r="A86" s="33">
        <v>45</v>
      </c>
      <c r="B86" s="34" t="s">
        <v>408</v>
      </c>
      <c r="C86" s="34" t="s">
        <v>409</v>
      </c>
      <c r="D86" s="33">
        <v>0.9844</v>
      </c>
      <c r="E86" s="35" t="s">
        <v>410</v>
      </c>
      <c r="F86" s="35" t="s">
        <v>411</v>
      </c>
      <c r="G86" s="35" t="s">
        <v>412</v>
      </c>
      <c r="H86" s="36" t="s">
        <v>413</v>
      </c>
      <c r="I86" s="37">
        <v>89299</v>
      </c>
      <c r="J86" s="35">
        <v>13456</v>
      </c>
      <c r="K86" s="35" t="s">
        <v>414</v>
      </c>
      <c r="L86" s="35" t="str">
        <f>IF(0.9844*17933.62=0," ",TEXT(,ROUND((0.9844*17933.62*4.06),2)))</f>
        <v>71674.65</v>
      </c>
      <c r="M86" s="35" t="s">
        <v>415</v>
      </c>
      <c r="N86" s="35" t="s">
        <v>416</v>
      </c>
    </row>
    <row r="87" spans="1:14" ht="120">
      <c r="A87" s="33">
        <v>46</v>
      </c>
      <c r="B87" s="34" t="s">
        <v>417</v>
      </c>
      <c r="C87" s="34" t="s">
        <v>418</v>
      </c>
      <c r="D87" s="33">
        <v>1</v>
      </c>
      <c r="E87" s="35" t="s">
        <v>419</v>
      </c>
      <c r="F87" s="35" t="s">
        <v>420</v>
      </c>
      <c r="G87" s="35" t="s">
        <v>421</v>
      </c>
      <c r="H87" s="36" t="s">
        <v>422</v>
      </c>
      <c r="I87" s="37">
        <v>2966</v>
      </c>
      <c r="J87" s="35">
        <v>1069</v>
      </c>
      <c r="K87" s="35" t="s">
        <v>423</v>
      </c>
      <c r="L87" s="35" t="str">
        <f>IF(1*300.2=0," ",TEXT(,ROUND((1*300.2*5.3),2)))</f>
        <v>1591.06</v>
      </c>
      <c r="M87" s="35" t="s">
        <v>424</v>
      </c>
      <c r="N87" s="35" t="s">
        <v>425</v>
      </c>
    </row>
    <row r="88" spans="1:14" ht="60">
      <c r="A88" s="33">
        <v>47</v>
      </c>
      <c r="B88" s="34" t="s">
        <v>426</v>
      </c>
      <c r="C88" s="34" t="s">
        <v>427</v>
      </c>
      <c r="D88" s="33">
        <v>1</v>
      </c>
      <c r="E88" s="35">
        <v>13.42</v>
      </c>
      <c r="F88" s="35"/>
      <c r="G88" s="35" t="s">
        <v>428</v>
      </c>
      <c r="H88" s="36" t="s">
        <v>429</v>
      </c>
      <c r="I88" s="37">
        <v>25</v>
      </c>
      <c r="J88" s="35"/>
      <c r="K88" s="35"/>
      <c r="L88" s="35" t="str">
        <f>IF(1*13.42=0," ",TEXT(,ROUND((1*13.42*1.941),2)))</f>
        <v>26.05</v>
      </c>
      <c r="M88" s="35"/>
      <c r="N88" s="35"/>
    </row>
    <row r="89" spans="1:14" ht="60">
      <c r="A89" s="33">
        <v>48</v>
      </c>
      <c r="B89" s="34" t="s">
        <v>430</v>
      </c>
      <c r="C89" s="34" t="s">
        <v>431</v>
      </c>
      <c r="D89" s="33">
        <v>1</v>
      </c>
      <c r="E89" s="35">
        <v>3.74</v>
      </c>
      <c r="F89" s="35"/>
      <c r="G89" s="35" t="s">
        <v>432</v>
      </c>
      <c r="H89" s="36" t="s">
        <v>433</v>
      </c>
      <c r="I89" s="37">
        <v>9</v>
      </c>
      <c r="J89" s="35"/>
      <c r="K89" s="35"/>
      <c r="L89" s="35" t="str">
        <f>IF(1*3.74=0," ",TEXT(,ROUND((1*3.74*2.337),2)))</f>
        <v>8.74</v>
      </c>
      <c r="M89" s="35"/>
      <c r="N89" s="35"/>
    </row>
    <row r="90" spans="1:14" ht="132">
      <c r="A90" s="33">
        <v>49</v>
      </c>
      <c r="B90" s="34" t="s">
        <v>434</v>
      </c>
      <c r="C90" s="34" t="s">
        <v>435</v>
      </c>
      <c r="D90" s="33">
        <v>0.0273</v>
      </c>
      <c r="E90" s="35" t="s">
        <v>436</v>
      </c>
      <c r="F90" s="35" t="s">
        <v>437</v>
      </c>
      <c r="G90" s="35" t="s">
        <v>438</v>
      </c>
      <c r="H90" s="36" t="s">
        <v>439</v>
      </c>
      <c r="I90" s="37">
        <v>423</v>
      </c>
      <c r="J90" s="35">
        <v>165</v>
      </c>
      <c r="K90" s="35" t="s">
        <v>440</v>
      </c>
      <c r="L90" s="35" t="str">
        <f>IF(0.0273*88.5=0," ",TEXT(,ROUND((0.0273*88.5*5.25),2)))</f>
        <v>12.68</v>
      </c>
      <c r="M90" s="35" t="s">
        <v>441</v>
      </c>
      <c r="N90" s="35" t="s">
        <v>442</v>
      </c>
    </row>
    <row r="91" spans="1:14" ht="108">
      <c r="A91" s="33">
        <v>50</v>
      </c>
      <c r="B91" s="34" t="s">
        <v>443</v>
      </c>
      <c r="C91" s="34" t="s">
        <v>444</v>
      </c>
      <c r="D91" s="33">
        <v>0.0273</v>
      </c>
      <c r="E91" s="35">
        <v>10045</v>
      </c>
      <c r="F91" s="35"/>
      <c r="G91" s="35" t="s">
        <v>445</v>
      </c>
      <c r="H91" s="36" t="s">
        <v>446</v>
      </c>
      <c r="I91" s="37">
        <v>2107</v>
      </c>
      <c r="J91" s="35"/>
      <c r="K91" s="35"/>
      <c r="L91" s="35" t="str">
        <f>IF(0.0273*10045=0," ",TEXT(,ROUND((0.0273*10045*7.691),2)))</f>
        <v>2109.09</v>
      </c>
      <c r="M91" s="35"/>
      <c r="N91" s="35"/>
    </row>
    <row r="92" spans="1:14" ht="120">
      <c r="A92" s="33">
        <v>51</v>
      </c>
      <c r="B92" s="34" t="s">
        <v>447</v>
      </c>
      <c r="C92" s="34" t="s">
        <v>448</v>
      </c>
      <c r="D92" s="33">
        <v>0.32</v>
      </c>
      <c r="E92" s="35" t="s">
        <v>449</v>
      </c>
      <c r="F92" s="35" t="s">
        <v>450</v>
      </c>
      <c r="G92" s="35" t="s">
        <v>451</v>
      </c>
      <c r="H92" s="36" t="s">
        <v>452</v>
      </c>
      <c r="I92" s="37">
        <v>8020</v>
      </c>
      <c r="J92" s="35">
        <v>362</v>
      </c>
      <c r="K92" s="35" t="s">
        <v>453</v>
      </c>
      <c r="L92" s="35" t="str">
        <f>IF(0.32*3032.91=0," ",TEXT(,ROUND((0.32*3032.91*7.67),2)))</f>
        <v>7443.97</v>
      </c>
      <c r="M92" s="35" t="s">
        <v>454</v>
      </c>
      <c r="N92" s="35" t="s">
        <v>455</v>
      </c>
    </row>
    <row r="93" spans="1:14" ht="108">
      <c r="A93" s="33">
        <v>52</v>
      </c>
      <c r="B93" s="34" t="s">
        <v>443</v>
      </c>
      <c r="C93" s="34" t="s">
        <v>444</v>
      </c>
      <c r="D93" s="33">
        <v>-0.096</v>
      </c>
      <c r="E93" s="35">
        <v>10045</v>
      </c>
      <c r="F93" s="35"/>
      <c r="G93" s="35" t="s">
        <v>445</v>
      </c>
      <c r="H93" s="36" t="s">
        <v>446</v>
      </c>
      <c r="I93" s="37">
        <v>-7414</v>
      </c>
      <c r="J93" s="35"/>
      <c r="K93" s="35"/>
      <c r="L93" s="35" t="str">
        <f>IF(-0.096*10045=0," ",TEXT(,ROUND((-0.096*10045*7.691),2)))</f>
        <v>-7416.59</v>
      </c>
      <c r="M93" s="35"/>
      <c r="N93" s="35"/>
    </row>
    <row r="94" spans="1:14" ht="60">
      <c r="A94" s="33">
        <v>53</v>
      </c>
      <c r="B94" s="34" t="s">
        <v>456</v>
      </c>
      <c r="C94" s="34" t="s">
        <v>457</v>
      </c>
      <c r="D94" s="33">
        <v>32</v>
      </c>
      <c r="E94" s="35">
        <v>12.03</v>
      </c>
      <c r="F94" s="35"/>
      <c r="G94" s="35" t="s">
        <v>458</v>
      </c>
      <c r="H94" s="36" t="s">
        <v>459</v>
      </c>
      <c r="I94" s="37">
        <v>2663</v>
      </c>
      <c r="J94" s="35"/>
      <c r="K94" s="35"/>
      <c r="L94" s="35" t="str">
        <f>IF(32*12.03=0," ",TEXT(,ROUND((32*12.03*6.918),2)))</f>
        <v>2663.15</v>
      </c>
      <c r="M94" s="35"/>
      <c r="N94" s="35"/>
    </row>
    <row r="95" spans="1:14" ht="120">
      <c r="A95" s="33">
        <v>54</v>
      </c>
      <c r="B95" s="34" t="s">
        <v>447</v>
      </c>
      <c r="C95" s="34" t="s">
        <v>460</v>
      </c>
      <c r="D95" s="33">
        <v>0.884</v>
      </c>
      <c r="E95" s="35" t="s">
        <v>449</v>
      </c>
      <c r="F95" s="35" t="s">
        <v>450</v>
      </c>
      <c r="G95" s="35" t="s">
        <v>451</v>
      </c>
      <c r="H95" s="36" t="s">
        <v>452</v>
      </c>
      <c r="I95" s="37">
        <v>22155</v>
      </c>
      <c r="J95" s="35">
        <v>987</v>
      </c>
      <c r="K95" s="35" t="s">
        <v>461</v>
      </c>
      <c r="L95" s="35" t="str">
        <f>IF(0.884*3032.91=0," ",TEXT(,ROUND((0.884*3032.91*7.67),2)))</f>
        <v>20563.98</v>
      </c>
      <c r="M95" s="35" t="s">
        <v>454</v>
      </c>
      <c r="N95" s="35" t="s">
        <v>462</v>
      </c>
    </row>
    <row r="96" spans="1:14" ht="120">
      <c r="A96" s="33">
        <v>55</v>
      </c>
      <c r="B96" s="34" t="s">
        <v>447</v>
      </c>
      <c r="C96" s="34" t="s">
        <v>463</v>
      </c>
      <c r="D96" s="33">
        <v>0.0125</v>
      </c>
      <c r="E96" s="35" t="s">
        <v>449</v>
      </c>
      <c r="F96" s="35" t="s">
        <v>450</v>
      </c>
      <c r="G96" s="35" t="s">
        <v>451</v>
      </c>
      <c r="H96" s="36" t="s">
        <v>452</v>
      </c>
      <c r="I96" s="37">
        <v>317</v>
      </c>
      <c r="J96" s="35">
        <v>16</v>
      </c>
      <c r="K96" s="35">
        <v>10</v>
      </c>
      <c r="L96" s="35" t="str">
        <f>IF(0.0125*3032.91=0," ",TEXT(,ROUND((0.0125*3032.91*7.67),2)))</f>
        <v>290.78</v>
      </c>
      <c r="M96" s="35" t="s">
        <v>454</v>
      </c>
      <c r="N96" s="35">
        <v>0.1</v>
      </c>
    </row>
    <row r="97" spans="1:14" ht="108">
      <c r="A97" s="33">
        <v>56</v>
      </c>
      <c r="B97" s="34" t="s">
        <v>443</v>
      </c>
      <c r="C97" s="34" t="s">
        <v>444</v>
      </c>
      <c r="D97" s="33">
        <v>-0.0038</v>
      </c>
      <c r="E97" s="35">
        <v>10045</v>
      </c>
      <c r="F97" s="35"/>
      <c r="G97" s="35" t="s">
        <v>445</v>
      </c>
      <c r="H97" s="36" t="s">
        <v>446</v>
      </c>
      <c r="I97" s="37">
        <v>-292</v>
      </c>
      <c r="J97" s="35"/>
      <c r="K97" s="35"/>
      <c r="L97" s="35" t="str">
        <f>IF(-0.0038*10045=0," ",TEXT(,ROUND((-0.0038*10045*7.691),2)))</f>
        <v>-293.57</v>
      </c>
      <c r="M97" s="35"/>
      <c r="N97" s="35"/>
    </row>
    <row r="98" spans="1:14" ht="24">
      <c r="A98" s="33">
        <v>57</v>
      </c>
      <c r="B98" s="34" t="s">
        <v>464</v>
      </c>
      <c r="C98" s="34" t="s">
        <v>465</v>
      </c>
      <c r="D98" s="33">
        <v>1</v>
      </c>
      <c r="E98" s="35">
        <v>379.69</v>
      </c>
      <c r="F98" s="35"/>
      <c r="G98" s="35" t="s">
        <v>466</v>
      </c>
      <c r="H98" s="36" t="s">
        <v>343</v>
      </c>
      <c r="I98" s="37">
        <v>2120</v>
      </c>
      <c r="J98" s="35"/>
      <c r="K98" s="35"/>
      <c r="L98" s="35" t="str">
        <f>IF(1*379.69=0," ",TEXT(,ROUND((1*379.69*5.58),2)))</f>
        <v>2118.67</v>
      </c>
      <c r="M98" s="35"/>
      <c r="N98" s="35"/>
    </row>
    <row r="99" spans="1:14" ht="168">
      <c r="A99" s="33">
        <v>58</v>
      </c>
      <c r="B99" s="34" t="s">
        <v>269</v>
      </c>
      <c r="C99" s="34" t="s">
        <v>270</v>
      </c>
      <c r="D99" s="33">
        <v>0.4568</v>
      </c>
      <c r="E99" s="35" t="s">
        <v>271</v>
      </c>
      <c r="F99" s="35" t="s">
        <v>272</v>
      </c>
      <c r="G99" s="35" t="s">
        <v>273</v>
      </c>
      <c r="H99" s="36" t="s">
        <v>274</v>
      </c>
      <c r="I99" s="37">
        <v>1941</v>
      </c>
      <c r="J99" s="35">
        <v>592</v>
      </c>
      <c r="K99" s="35">
        <v>74</v>
      </c>
      <c r="L99" s="35" t="str">
        <f>IF(0.4568*562.56=0," ",TEXT(,ROUND((0.4568*562.56*4.94),2)))</f>
        <v>1269.47</v>
      </c>
      <c r="M99" s="35" t="s">
        <v>275</v>
      </c>
      <c r="N99" s="35" t="s">
        <v>467</v>
      </c>
    </row>
    <row r="100" spans="1:14" ht="60">
      <c r="A100" s="33">
        <v>59</v>
      </c>
      <c r="B100" s="34" t="s">
        <v>468</v>
      </c>
      <c r="C100" s="34" t="s">
        <v>469</v>
      </c>
      <c r="D100" s="33">
        <v>1.44</v>
      </c>
      <c r="E100" s="35" t="s">
        <v>470</v>
      </c>
      <c r="F100" s="35"/>
      <c r="G100" s="35" t="s">
        <v>471</v>
      </c>
      <c r="H100" s="36" t="s">
        <v>472</v>
      </c>
      <c r="I100" s="37">
        <v>12395</v>
      </c>
      <c r="J100" s="35">
        <v>12354</v>
      </c>
      <c r="K100" s="35"/>
      <c r="L100" s="35" t="str">
        <f>IF(1.44*8.02=0," ",TEXT(,ROUND((1.44*8.02*3.39),2)))</f>
        <v>39.15</v>
      </c>
      <c r="M100" s="35">
        <v>60.4</v>
      </c>
      <c r="N100" s="35">
        <v>86.98</v>
      </c>
    </row>
    <row r="101" spans="1:14" ht="72">
      <c r="A101" s="33">
        <v>60</v>
      </c>
      <c r="B101" s="34" t="s">
        <v>473</v>
      </c>
      <c r="C101" s="34" t="s">
        <v>474</v>
      </c>
      <c r="D101" s="33">
        <v>-1.44</v>
      </c>
      <c r="E101" s="35" t="s">
        <v>475</v>
      </c>
      <c r="F101" s="35"/>
      <c r="G101" s="35" t="s">
        <v>132</v>
      </c>
      <c r="H101" s="36" t="s">
        <v>476</v>
      </c>
      <c r="I101" s="37">
        <v>-2089</v>
      </c>
      <c r="J101" s="35">
        <v>-2089</v>
      </c>
      <c r="K101" s="35"/>
      <c r="L101" s="35" t="str">
        <f>IF(-1.44*0=0," ",TEXT(,ROUND((-1.44*0*1),2)))</f>
        <v> </v>
      </c>
      <c r="M101" s="35">
        <v>11.04</v>
      </c>
      <c r="N101" s="35">
        <v>-15.9</v>
      </c>
    </row>
    <row r="102" spans="1:14" ht="60">
      <c r="A102" s="33">
        <v>61</v>
      </c>
      <c r="B102" s="34" t="s">
        <v>477</v>
      </c>
      <c r="C102" s="34" t="s">
        <v>478</v>
      </c>
      <c r="D102" s="33">
        <v>0.068</v>
      </c>
      <c r="E102" s="35">
        <v>5989</v>
      </c>
      <c r="F102" s="35"/>
      <c r="G102" s="35" t="s">
        <v>479</v>
      </c>
      <c r="H102" s="36" t="s">
        <v>480</v>
      </c>
      <c r="I102" s="37">
        <v>1737</v>
      </c>
      <c r="J102" s="35"/>
      <c r="K102" s="35"/>
      <c r="L102" s="35" t="str">
        <f>IF(0.068*5989=0," ",TEXT(,ROUND((0.068*5989*4.267),2)))</f>
        <v>1737.74</v>
      </c>
      <c r="M102" s="35"/>
      <c r="N102" s="35"/>
    </row>
    <row r="103" spans="1:14" ht="24">
      <c r="A103" s="33">
        <v>62</v>
      </c>
      <c r="B103" s="34" t="s">
        <v>464</v>
      </c>
      <c r="C103" s="34" t="s">
        <v>481</v>
      </c>
      <c r="D103" s="33">
        <v>144</v>
      </c>
      <c r="E103" s="35">
        <v>59.23</v>
      </c>
      <c r="F103" s="35"/>
      <c r="G103" s="35" t="s">
        <v>482</v>
      </c>
      <c r="H103" s="36" t="s">
        <v>343</v>
      </c>
      <c r="I103" s="37">
        <v>47592</v>
      </c>
      <c r="J103" s="35"/>
      <c r="K103" s="35"/>
      <c r="L103" s="35" t="str">
        <f>IF(144*59.23=0," ",TEXT(,ROUND((144*59.23*5.58),2)))</f>
        <v>47592.49</v>
      </c>
      <c r="M103" s="35"/>
      <c r="N103" s="35"/>
    </row>
    <row r="104" spans="1:14" ht="24">
      <c r="A104" s="33">
        <v>63</v>
      </c>
      <c r="B104" s="34" t="s">
        <v>464</v>
      </c>
      <c r="C104" s="34" t="s">
        <v>483</v>
      </c>
      <c r="D104" s="33">
        <v>12</v>
      </c>
      <c r="E104" s="35">
        <v>42.52</v>
      </c>
      <c r="F104" s="35"/>
      <c r="G104" s="35" t="s">
        <v>484</v>
      </c>
      <c r="H104" s="36" t="s">
        <v>343</v>
      </c>
      <c r="I104" s="37">
        <v>2846</v>
      </c>
      <c r="J104" s="35"/>
      <c r="K104" s="35"/>
      <c r="L104" s="35" t="str">
        <f>IF(12*42.52=0," ",TEXT(,ROUND((12*42.52*5.58),2)))</f>
        <v>2847.14</v>
      </c>
      <c r="M104" s="35"/>
      <c r="N104" s="35"/>
    </row>
    <row r="105" spans="1:14" ht="60">
      <c r="A105" s="33">
        <v>64</v>
      </c>
      <c r="B105" s="34" t="s">
        <v>485</v>
      </c>
      <c r="C105" s="34" t="s">
        <v>486</v>
      </c>
      <c r="D105" s="33">
        <v>12</v>
      </c>
      <c r="E105" s="35">
        <v>67.8</v>
      </c>
      <c r="F105" s="35"/>
      <c r="G105" s="35" t="s">
        <v>487</v>
      </c>
      <c r="H105" s="36" t="s">
        <v>488</v>
      </c>
      <c r="I105" s="37">
        <v>2440</v>
      </c>
      <c r="J105" s="35"/>
      <c r="K105" s="35"/>
      <c r="L105" s="35" t="str">
        <f>IF(12*67.8=0," ",TEXT(,ROUND((12*67.8*2.998),2)))</f>
        <v>2439.17</v>
      </c>
      <c r="M105" s="35"/>
      <c r="N105" s="35"/>
    </row>
    <row r="106" spans="1:14" ht="60">
      <c r="A106" s="33">
        <v>65</v>
      </c>
      <c r="B106" s="34" t="s">
        <v>489</v>
      </c>
      <c r="C106" s="34" t="s">
        <v>490</v>
      </c>
      <c r="D106" s="33">
        <v>12</v>
      </c>
      <c r="E106" s="35">
        <v>35.9</v>
      </c>
      <c r="F106" s="35"/>
      <c r="G106" s="35" t="s">
        <v>491</v>
      </c>
      <c r="H106" s="36" t="s">
        <v>492</v>
      </c>
      <c r="I106" s="37">
        <v>1681</v>
      </c>
      <c r="J106" s="35"/>
      <c r="K106" s="35"/>
      <c r="L106" s="35" t="str">
        <f>IF(12*35.9=0," ",TEXT(,ROUND((12*35.9*3.9),2)))</f>
        <v>1680.12</v>
      </c>
      <c r="M106" s="35"/>
      <c r="N106" s="35"/>
    </row>
    <row r="107" spans="1:14" ht="36">
      <c r="A107" s="76" t="s">
        <v>206</v>
      </c>
      <c r="B107" s="76"/>
      <c r="C107" s="76"/>
      <c r="D107" s="76"/>
      <c r="E107" s="76"/>
      <c r="F107" s="76"/>
      <c r="G107" s="76"/>
      <c r="H107" s="76"/>
      <c r="I107" s="37">
        <v>192023</v>
      </c>
      <c r="J107" s="35">
        <v>13454</v>
      </c>
      <c r="K107" s="35" t="s">
        <v>493</v>
      </c>
      <c r="L107" s="35">
        <v>175269</v>
      </c>
      <c r="M107" s="35"/>
      <c r="N107" s="35" t="s">
        <v>494</v>
      </c>
    </row>
    <row r="108" spans="1:14" ht="36">
      <c r="A108" s="76" t="s">
        <v>209</v>
      </c>
      <c r="B108" s="76"/>
      <c r="C108" s="76"/>
      <c r="D108" s="76"/>
      <c r="E108" s="76"/>
      <c r="F108" s="76"/>
      <c r="G108" s="76"/>
      <c r="H108" s="76"/>
      <c r="I108" s="37">
        <v>1011018</v>
      </c>
      <c r="J108" s="35">
        <v>221320</v>
      </c>
      <c r="K108" s="35" t="s">
        <v>495</v>
      </c>
      <c r="L108" s="35">
        <v>755329</v>
      </c>
      <c r="M108" s="35"/>
      <c r="N108" s="35" t="s">
        <v>494</v>
      </c>
    </row>
    <row r="109" spans="1:14" ht="12">
      <c r="A109" s="76" t="s">
        <v>211</v>
      </c>
      <c r="B109" s="76"/>
      <c r="C109" s="76"/>
      <c r="D109" s="76"/>
      <c r="E109" s="76"/>
      <c r="F109" s="76"/>
      <c r="G109" s="76"/>
      <c r="H109" s="76"/>
      <c r="I109" s="37">
        <v>191058</v>
      </c>
      <c r="J109" s="35"/>
      <c r="K109" s="35"/>
      <c r="L109" s="35"/>
      <c r="M109" s="35"/>
      <c r="N109" s="35"/>
    </row>
    <row r="110" spans="1:14" ht="12">
      <c r="A110" s="76" t="s">
        <v>212</v>
      </c>
      <c r="B110" s="76"/>
      <c r="C110" s="76"/>
      <c r="D110" s="76"/>
      <c r="E110" s="76"/>
      <c r="F110" s="76"/>
      <c r="G110" s="76"/>
      <c r="H110" s="76"/>
      <c r="I110" s="37">
        <v>104184</v>
      </c>
      <c r="J110" s="35"/>
      <c r="K110" s="35"/>
      <c r="L110" s="35"/>
      <c r="M110" s="35"/>
      <c r="N110" s="35"/>
    </row>
    <row r="111" spans="1:14" ht="12">
      <c r="A111" s="75" t="s">
        <v>496</v>
      </c>
      <c r="B111" s="75"/>
      <c r="C111" s="75"/>
      <c r="D111" s="75"/>
      <c r="E111" s="75"/>
      <c r="F111" s="75"/>
      <c r="G111" s="75"/>
      <c r="H111" s="75"/>
      <c r="I111" s="37"/>
      <c r="J111" s="35"/>
      <c r="K111" s="35"/>
      <c r="L111" s="35"/>
      <c r="M111" s="35"/>
      <c r="N111" s="35"/>
    </row>
    <row r="112" spans="1:14" ht="24">
      <c r="A112" s="76" t="s">
        <v>497</v>
      </c>
      <c r="B112" s="76"/>
      <c r="C112" s="76"/>
      <c r="D112" s="76"/>
      <c r="E112" s="76"/>
      <c r="F112" s="76"/>
      <c r="G112" s="76"/>
      <c r="H112" s="76"/>
      <c r="I112" s="37">
        <v>10942</v>
      </c>
      <c r="J112" s="35"/>
      <c r="K112" s="35"/>
      <c r="L112" s="35"/>
      <c r="M112" s="35"/>
      <c r="N112" s="35" t="s">
        <v>241</v>
      </c>
    </row>
    <row r="113" spans="1:14" ht="24">
      <c r="A113" s="76" t="s">
        <v>498</v>
      </c>
      <c r="B113" s="76"/>
      <c r="C113" s="76"/>
      <c r="D113" s="76"/>
      <c r="E113" s="76"/>
      <c r="F113" s="76"/>
      <c r="G113" s="76"/>
      <c r="H113" s="76"/>
      <c r="I113" s="37">
        <v>54206</v>
      </c>
      <c r="J113" s="35"/>
      <c r="K113" s="35"/>
      <c r="L113" s="35"/>
      <c r="M113" s="35"/>
      <c r="N113" s="35" t="s">
        <v>499</v>
      </c>
    </row>
    <row r="114" spans="1:14" ht="12">
      <c r="A114" s="76" t="s">
        <v>223</v>
      </c>
      <c r="B114" s="76"/>
      <c r="C114" s="76"/>
      <c r="D114" s="76"/>
      <c r="E114" s="76"/>
      <c r="F114" s="76"/>
      <c r="G114" s="76"/>
      <c r="H114" s="76"/>
      <c r="I114" s="37">
        <v>106716</v>
      </c>
      <c r="J114" s="35"/>
      <c r="K114" s="35"/>
      <c r="L114" s="35"/>
      <c r="M114" s="35"/>
      <c r="N114" s="35"/>
    </row>
    <row r="115" spans="1:14" ht="24">
      <c r="A115" s="76" t="s">
        <v>219</v>
      </c>
      <c r="B115" s="76"/>
      <c r="C115" s="76"/>
      <c r="D115" s="76"/>
      <c r="E115" s="76"/>
      <c r="F115" s="76"/>
      <c r="G115" s="76"/>
      <c r="H115" s="76"/>
      <c r="I115" s="37">
        <v>475909</v>
      </c>
      <c r="J115" s="35"/>
      <c r="K115" s="35"/>
      <c r="L115" s="35"/>
      <c r="M115" s="35"/>
      <c r="N115" s="35" t="s">
        <v>500</v>
      </c>
    </row>
    <row r="116" spans="1:14" ht="24">
      <c r="A116" s="76" t="s">
        <v>501</v>
      </c>
      <c r="B116" s="76"/>
      <c r="C116" s="76"/>
      <c r="D116" s="76"/>
      <c r="E116" s="76"/>
      <c r="F116" s="76"/>
      <c r="G116" s="76"/>
      <c r="H116" s="76"/>
      <c r="I116" s="37">
        <v>238490</v>
      </c>
      <c r="J116" s="35"/>
      <c r="K116" s="35"/>
      <c r="L116" s="35"/>
      <c r="M116" s="35"/>
      <c r="N116" s="35" t="s">
        <v>502</v>
      </c>
    </row>
    <row r="117" spans="1:14" ht="24">
      <c r="A117" s="76" t="s">
        <v>503</v>
      </c>
      <c r="B117" s="76"/>
      <c r="C117" s="76"/>
      <c r="D117" s="76"/>
      <c r="E117" s="76"/>
      <c r="F117" s="76"/>
      <c r="G117" s="76"/>
      <c r="H117" s="76"/>
      <c r="I117" s="37">
        <v>4534</v>
      </c>
      <c r="J117" s="35"/>
      <c r="K117" s="35"/>
      <c r="L117" s="35"/>
      <c r="M117" s="35"/>
      <c r="N117" s="35" t="s">
        <v>504</v>
      </c>
    </row>
    <row r="118" spans="1:14" ht="21.75" customHeight="1">
      <c r="A118" s="76" t="s">
        <v>505</v>
      </c>
      <c r="B118" s="76"/>
      <c r="C118" s="76"/>
      <c r="D118" s="76"/>
      <c r="E118" s="76"/>
      <c r="F118" s="76"/>
      <c r="G118" s="76"/>
      <c r="H118" s="76"/>
      <c r="I118" s="37">
        <v>1545</v>
      </c>
      <c r="J118" s="35"/>
      <c r="K118" s="35"/>
      <c r="L118" s="35"/>
      <c r="M118" s="35"/>
      <c r="N118" s="35"/>
    </row>
    <row r="119" spans="1:14" ht="24">
      <c r="A119" s="76" t="s">
        <v>217</v>
      </c>
      <c r="B119" s="76"/>
      <c r="C119" s="76"/>
      <c r="D119" s="76"/>
      <c r="E119" s="76"/>
      <c r="F119" s="76"/>
      <c r="G119" s="76"/>
      <c r="H119" s="76"/>
      <c r="I119" s="37">
        <v>413918</v>
      </c>
      <c r="J119" s="35"/>
      <c r="K119" s="35"/>
      <c r="L119" s="35"/>
      <c r="M119" s="35"/>
      <c r="N119" s="35" t="s">
        <v>506</v>
      </c>
    </row>
    <row r="120" spans="1:14" ht="36">
      <c r="A120" s="76" t="s">
        <v>224</v>
      </c>
      <c r="B120" s="76"/>
      <c r="C120" s="76"/>
      <c r="D120" s="76"/>
      <c r="E120" s="76"/>
      <c r="F120" s="76"/>
      <c r="G120" s="76"/>
      <c r="H120" s="76"/>
      <c r="I120" s="37">
        <v>1306260</v>
      </c>
      <c r="J120" s="35"/>
      <c r="K120" s="35"/>
      <c r="L120" s="35"/>
      <c r="M120" s="35"/>
      <c r="N120" s="35" t="s">
        <v>494</v>
      </c>
    </row>
    <row r="121" spans="1:14" ht="12">
      <c r="A121" s="76" t="s">
        <v>225</v>
      </c>
      <c r="B121" s="76"/>
      <c r="C121" s="76"/>
      <c r="D121" s="76"/>
      <c r="E121" s="76"/>
      <c r="F121" s="76"/>
      <c r="G121" s="76"/>
      <c r="H121" s="76"/>
      <c r="I121" s="37"/>
      <c r="J121" s="35"/>
      <c r="K121" s="35"/>
      <c r="L121" s="35"/>
      <c r="M121" s="35"/>
      <c r="N121" s="35"/>
    </row>
    <row r="122" spans="1:14" ht="12">
      <c r="A122" s="76" t="s">
        <v>226</v>
      </c>
      <c r="B122" s="76"/>
      <c r="C122" s="76"/>
      <c r="D122" s="76"/>
      <c r="E122" s="76"/>
      <c r="F122" s="76"/>
      <c r="G122" s="76"/>
      <c r="H122" s="76"/>
      <c r="I122" s="37">
        <v>755329</v>
      </c>
      <c r="J122" s="35"/>
      <c r="K122" s="35"/>
      <c r="L122" s="35"/>
      <c r="M122" s="35"/>
      <c r="N122" s="35"/>
    </row>
    <row r="123" spans="1:14" ht="12">
      <c r="A123" s="76" t="s">
        <v>227</v>
      </c>
      <c r="B123" s="76"/>
      <c r="C123" s="76"/>
      <c r="D123" s="76"/>
      <c r="E123" s="76"/>
      <c r="F123" s="76"/>
      <c r="G123" s="76"/>
      <c r="H123" s="76"/>
      <c r="I123" s="37">
        <v>34369</v>
      </c>
      <c r="J123" s="35"/>
      <c r="K123" s="35"/>
      <c r="L123" s="35"/>
      <c r="M123" s="35"/>
      <c r="N123" s="35"/>
    </row>
    <row r="124" spans="1:14" ht="12">
      <c r="A124" s="76" t="s">
        <v>228</v>
      </c>
      <c r="B124" s="76"/>
      <c r="C124" s="76"/>
      <c r="D124" s="76"/>
      <c r="E124" s="76"/>
      <c r="F124" s="76"/>
      <c r="G124" s="76"/>
      <c r="H124" s="76"/>
      <c r="I124" s="37">
        <v>224888</v>
      </c>
      <c r="J124" s="35"/>
      <c r="K124" s="35"/>
      <c r="L124" s="35"/>
      <c r="M124" s="35"/>
      <c r="N124" s="35"/>
    </row>
    <row r="125" spans="1:14" ht="12">
      <c r="A125" s="76" t="s">
        <v>229</v>
      </c>
      <c r="B125" s="76"/>
      <c r="C125" s="76"/>
      <c r="D125" s="76"/>
      <c r="E125" s="76"/>
      <c r="F125" s="76"/>
      <c r="G125" s="76"/>
      <c r="H125" s="76"/>
      <c r="I125" s="37">
        <v>191058</v>
      </c>
      <c r="J125" s="35"/>
      <c r="K125" s="35"/>
      <c r="L125" s="35"/>
      <c r="M125" s="35"/>
      <c r="N125" s="35"/>
    </row>
    <row r="126" spans="1:14" ht="12">
      <c r="A126" s="76" t="s">
        <v>230</v>
      </c>
      <c r="B126" s="76"/>
      <c r="C126" s="76"/>
      <c r="D126" s="76"/>
      <c r="E126" s="76"/>
      <c r="F126" s="76"/>
      <c r="G126" s="76"/>
      <c r="H126" s="76"/>
      <c r="I126" s="37">
        <v>104184</v>
      </c>
      <c r="J126" s="35"/>
      <c r="K126" s="35"/>
      <c r="L126" s="35"/>
      <c r="M126" s="35"/>
      <c r="N126" s="35"/>
    </row>
    <row r="127" spans="1:14" ht="36">
      <c r="A127" s="75" t="s">
        <v>507</v>
      </c>
      <c r="B127" s="75"/>
      <c r="C127" s="75"/>
      <c r="D127" s="75"/>
      <c r="E127" s="75"/>
      <c r="F127" s="75"/>
      <c r="G127" s="75"/>
      <c r="H127" s="75"/>
      <c r="I127" s="37">
        <v>1306260</v>
      </c>
      <c r="J127" s="35"/>
      <c r="K127" s="35"/>
      <c r="L127" s="35"/>
      <c r="M127" s="35"/>
      <c r="N127" s="35" t="s">
        <v>494</v>
      </c>
    </row>
    <row r="128" spans="1:14" ht="17.25" customHeight="1">
      <c r="A128" s="75" t="s">
        <v>508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</row>
    <row r="129" spans="1:14" ht="72">
      <c r="A129" s="33">
        <v>66</v>
      </c>
      <c r="B129" s="34" t="s">
        <v>509</v>
      </c>
      <c r="C129" s="34" t="s">
        <v>510</v>
      </c>
      <c r="D129" s="33">
        <v>0.11</v>
      </c>
      <c r="E129" s="35" t="s">
        <v>511</v>
      </c>
      <c r="F129" s="35" t="s">
        <v>236</v>
      </c>
      <c r="G129" s="35" t="s">
        <v>512</v>
      </c>
      <c r="H129" s="36" t="s">
        <v>238</v>
      </c>
      <c r="I129" s="37">
        <v>54343</v>
      </c>
      <c r="J129" s="35">
        <v>8538</v>
      </c>
      <c r="K129" s="35" t="s">
        <v>513</v>
      </c>
      <c r="L129" s="35" t="str">
        <f>IF(0.11*81187.86=0," ",TEXT(,ROUND((0.11*81187.86*4.63),2)))</f>
        <v>41348.98</v>
      </c>
      <c r="M129" s="35" t="s">
        <v>514</v>
      </c>
      <c r="N129" s="35" t="s">
        <v>515</v>
      </c>
    </row>
    <row r="130" spans="1:14" ht="60">
      <c r="A130" s="33">
        <v>67</v>
      </c>
      <c r="B130" s="34" t="s">
        <v>516</v>
      </c>
      <c r="C130" s="34" t="s">
        <v>517</v>
      </c>
      <c r="D130" s="33">
        <v>-4.312</v>
      </c>
      <c r="E130" s="35">
        <v>1752.6</v>
      </c>
      <c r="F130" s="35"/>
      <c r="G130" s="35" t="s">
        <v>518</v>
      </c>
      <c r="H130" s="36" t="s">
        <v>519</v>
      </c>
      <c r="I130" s="37">
        <v>-34498</v>
      </c>
      <c r="J130" s="35"/>
      <c r="K130" s="35"/>
      <c r="L130" s="35" t="str">
        <f>IF(-4.312*1752.6=0," ",TEXT(,ROUND((-4.312*1752.6*4.565),2)))</f>
        <v>-34498.67</v>
      </c>
      <c r="M130" s="35"/>
      <c r="N130" s="35"/>
    </row>
    <row r="131" spans="1:14" ht="60">
      <c r="A131" s="33">
        <v>68</v>
      </c>
      <c r="B131" s="34" t="s">
        <v>520</v>
      </c>
      <c r="C131" s="34" t="s">
        <v>521</v>
      </c>
      <c r="D131" s="33">
        <v>-2.64</v>
      </c>
      <c r="E131" s="35">
        <v>519.8</v>
      </c>
      <c r="F131" s="35"/>
      <c r="G131" s="35" t="s">
        <v>522</v>
      </c>
      <c r="H131" s="36" t="s">
        <v>523</v>
      </c>
      <c r="I131" s="37">
        <v>-6842</v>
      </c>
      <c r="J131" s="35"/>
      <c r="K131" s="35"/>
      <c r="L131" s="35" t="str">
        <f>IF(-2.64*519.8=0," ",TEXT(,ROUND((-2.64*519.8*4.987),2)))</f>
        <v>-6843.52</v>
      </c>
      <c r="M131" s="35"/>
      <c r="N131" s="35"/>
    </row>
    <row r="132" spans="1:14" ht="60">
      <c r="A132" s="33">
        <v>69</v>
      </c>
      <c r="B132" s="34" t="s">
        <v>524</v>
      </c>
      <c r="C132" s="34" t="s">
        <v>525</v>
      </c>
      <c r="D132" s="33">
        <v>4.312</v>
      </c>
      <c r="E132" s="35">
        <v>1863.37</v>
      </c>
      <c r="F132" s="35"/>
      <c r="G132" s="35" t="s">
        <v>526</v>
      </c>
      <c r="H132" s="36" t="s">
        <v>527</v>
      </c>
      <c r="I132" s="37">
        <v>36085</v>
      </c>
      <c r="J132" s="35"/>
      <c r="K132" s="35"/>
      <c r="L132" s="35" t="str">
        <f>IF(4.312*1863.37=0," ",TEXT(,ROUND((4.312*1863.37*4.491),2)))</f>
        <v>36084.52</v>
      </c>
      <c r="M132" s="35"/>
      <c r="N132" s="35"/>
    </row>
    <row r="133" spans="1:14" ht="60">
      <c r="A133" s="33">
        <v>70</v>
      </c>
      <c r="B133" s="34" t="s">
        <v>528</v>
      </c>
      <c r="C133" s="34" t="s">
        <v>529</v>
      </c>
      <c r="D133" s="33">
        <v>2.64</v>
      </c>
      <c r="E133" s="35">
        <v>519.8</v>
      </c>
      <c r="F133" s="35"/>
      <c r="G133" s="35" t="s">
        <v>522</v>
      </c>
      <c r="H133" s="36" t="s">
        <v>530</v>
      </c>
      <c r="I133" s="37">
        <v>7373</v>
      </c>
      <c r="J133" s="35"/>
      <c r="K133" s="35"/>
      <c r="L133" s="35" t="str">
        <f>IF(2.64*519.8=0," ",TEXT(,ROUND((2.64*519.8*5.374),2)))</f>
        <v>7374.59</v>
      </c>
      <c r="M133" s="35"/>
      <c r="N133" s="35"/>
    </row>
    <row r="134" spans="1:14" ht="132">
      <c r="A134" s="33">
        <v>71</v>
      </c>
      <c r="B134" s="34" t="s">
        <v>286</v>
      </c>
      <c r="C134" s="34" t="s">
        <v>531</v>
      </c>
      <c r="D134" s="33">
        <v>0.375</v>
      </c>
      <c r="E134" s="35" t="s">
        <v>288</v>
      </c>
      <c r="F134" s="35">
        <v>33.51</v>
      </c>
      <c r="G134" s="35" t="s">
        <v>289</v>
      </c>
      <c r="H134" s="36" t="s">
        <v>290</v>
      </c>
      <c r="I134" s="37">
        <v>4276</v>
      </c>
      <c r="J134" s="35">
        <v>1332</v>
      </c>
      <c r="K134" s="35">
        <v>177</v>
      </c>
      <c r="L134" s="35" t="str">
        <f>IF(0.375*2189=0," ",TEXT(,ROUND((0.375*2189*3.37),2)))</f>
        <v>2766.35</v>
      </c>
      <c r="M134" s="35">
        <v>25.875</v>
      </c>
      <c r="N134" s="35">
        <v>9.7</v>
      </c>
    </row>
    <row r="135" spans="1:14" ht="156">
      <c r="A135" s="33">
        <v>72</v>
      </c>
      <c r="B135" s="34" t="s">
        <v>532</v>
      </c>
      <c r="C135" s="34" t="s">
        <v>533</v>
      </c>
      <c r="D135" s="33">
        <v>0.42</v>
      </c>
      <c r="E135" s="35" t="s">
        <v>534</v>
      </c>
      <c r="F135" s="35">
        <v>578.44</v>
      </c>
      <c r="G135" s="35" t="s">
        <v>535</v>
      </c>
      <c r="H135" s="36" t="s">
        <v>536</v>
      </c>
      <c r="I135" s="37">
        <v>25714</v>
      </c>
      <c r="J135" s="35">
        <v>10051</v>
      </c>
      <c r="K135" s="35">
        <v>2432</v>
      </c>
      <c r="L135" s="35" t="str">
        <f>IF(0.42*8515.41=0," ",TEXT(,ROUND((0.42*8515.41*3.7),2)))</f>
        <v>13232.95</v>
      </c>
      <c r="M135" s="35">
        <v>160.4825</v>
      </c>
      <c r="N135" s="35">
        <v>67.4</v>
      </c>
    </row>
    <row r="136" spans="1:14" ht="156">
      <c r="A136" s="33">
        <v>73</v>
      </c>
      <c r="B136" s="34" t="s">
        <v>537</v>
      </c>
      <c r="C136" s="34" t="s">
        <v>538</v>
      </c>
      <c r="D136" s="33">
        <v>0.96</v>
      </c>
      <c r="E136" s="35" t="s">
        <v>539</v>
      </c>
      <c r="F136" s="35" t="s">
        <v>540</v>
      </c>
      <c r="G136" s="35" t="s">
        <v>541</v>
      </c>
      <c r="H136" s="36" t="s">
        <v>542</v>
      </c>
      <c r="I136" s="37">
        <v>2650</v>
      </c>
      <c r="J136" s="35">
        <v>2402</v>
      </c>
      <c r="K136" s="35">
        <v>103</v>
      </c>
      <c r="L136" s="35" t="str">
        <f>IF(0.96*105.45=0," ",TEXT(,ROUND((0.96*105.45*1.42),2)))</f>
        <v>143.75</v>
      </c>
      <c r="M136" s="35" t="s">
        <v>543</v>
      </c>
      <c r="N136" s="35" t="s">
        <v>544</v>
      </c>
    </row>
    <row r="137" spans="1:14" ht="60">
      <c r="A137" s="33">
        <v>74</v>
      </c>
      <c r="B137" s="34" t="s">
        <v>545</v>
      </c>
      <c r="C137" s="34" t="s">
        <v>546</v>
      </c>
      <c r="D137" s="33">
        <v>4.8</v>
      </c>
      <c r="E137" s="35">
        <v>468.08</v>
      </c>
      <c r="F137" s="35"/>
      <c r="G137" s="35" t="s">
        <v>547</v>
      </c>
      <c r="H137" s="36" t="s">
        <v>343</v>
      </c>
      <c r="I137" s="37">
        <v>12538</v>
      </c>
      <c r="J137" s="35"/>
      <c r="K137" s="35"/>
      <c r="L137" s="35" t="str">
        <f>IF(4.8*468.08=0," ",TEXT(,ROUND((4.8*468.08*5.58),2)))</f>
        <v>12537.05</v>
      </c>
      <c r="M137" s="35"/>
      <c r="N137" s="35"/>
    </row>
    <row r="138" spans="1:14" ht="144">
      <c r="A138" s="33">
        <v>75</v>
      </c>
      <c r="B138" s="34" t="s">
        <v>548</v>
      </c>
      <c r="C138" s="34" t="s">
        <v>549</v>
      </c>
      <c r="D138" s="33">
        <v>1.5</v>
      </c>
      <c r="E138" s="35" t="s">
        <v>550</v>
      </c>
      <c r="F138" s="35">
        <v>50.59</v>
      </c>
      <c r="G138" s="35" t="s">
        <v>551</v>
      </c>
      <c r="H138" s="36" t="s">
        <v>552</v>
      </c>
      <c r="I138" s="37">
        <v>29326</v>
      </c>
      <c r="J138" s="35">
        <v>7847</v>
      </c>
      <c r="K138" s="35">
        <v>988</v>
      </c>
      <c r="L138" s="35" t="str">
        <f>IF(1.5*1404.64=0," ",TEXT(,ROUND((1.5*1404.64*9.73),2)))</f>
        <v>20500.72</v>
      </c>
      <c r="M138" s="35">
        <v>36.777</v>
      </c>
      <c r="N138" s="35">
        <v>55.17</v>
      </c>
    </row>
    <row r="139" spans="1:14" ht="60">
      <c r="A139" s="33">
        <v>76</v>
      </c>
      <c r="B139" s="34" t="s">
        <v>553</v>
      </c>
      <c r="C139" s="34" t="s">
        <v>554</v>
      </c>
      <c r="D139" s="33">
        <v>-0.1725</v>
      </c>
      <c r="E139" s="35">
        <v>7800</v>
      </c>
      <c r="F139" s="35"/>
      <c r="G139" s="35" t="s">
        <v>555</v>
      </c>
      <c r="H139" s="36" t="s">
        <v>556</v>
      </c>
      <c r="I139" s="37">
        <v>-16110</v>
      </c>
      <c r="J139" s="35"/>
      <c r="K139" s="35"/>
      <c r="L139" s="35" t="str">
        <f>IF(-0.1725*7800=0," ",TEXT(,ROUND((-0.1725*7800*11.969),2)))</f>
        <v>-16104.29</v>
      </c>
      <c r="M139" s="35"/>
      <c r="N139" s="35"/>
    </row>
    <row r="140" spans="1:14" ht="60">
      <c r="A140" s="33">
        <v>77</v>
      </c>
      <c r="B140" s="34" t="s">
        <v>557</v>
      </c>
      <c r="C140" s="34" t="s">
        <v>558</v>
      </c>
      <c r="D140" s="33">
        <v>11.04</v>
      </c>
      <c r="E140" s="35">
        <v>27.5</v>
      </c>
      <c r="F140" s="35"/>
      <c r="G140" s="35" t="s">
        <v>559</v>
      </c>
      <c r="H140" s="36" t="s">
        <v>560</v>
      </c>
      <c r="I140" s="37">
        <v>1505</v>
      </c>
      <c r="J140" s="35"/>
      <c r="K140" s="35"/>
      <c r="L140" s="35" t="str">
        <f>IF(11.04*27.5=0," ",TEXT(,ROUND((11.04*27.5*4.95),2)))</f>
        <v>1502.82</v>
      </c>
      <c r="M140" s="35"/>
      <c r="N140" s="35"/>
    </row>
    <row r="141" spans="1:14" ht="60">
      <c r="A141" s="33">
        <v>78</v>
      </c>
      <c r="B141" s="34" t="s">
        <v>561</v>
      </c>
      <c r="C141" s="34" t="s">
        <v>562</v>
      </c>
      <c r="D141" s="33" t="s">
        <v>563</v>
      </c>
      <c r="E141" s="35">
        <v>22020</v>
      </c>
      <c r="F141" s="35"/>
      <c r="G141" s="35" t="s">
        <v>564</v>
      </c>
      <c r="H141" s="36" t="s">
        <v>565</v>
      </c>
      <c r="I141" s="37">
        <v>2101</v>
      </c>
      <c r="J141" s="35"/>
      <c r="K141" s="35"/>
      <c r="L141" s="35" t="str">
        <f>IF(0.0621*22020=0," ",TEXT(,ROUND((0.0621*22020*1.537),2)))</f>
        <v>2101.76</v>
      </c>
      <c r="M141" s="35"/>
      <c r="N141" s="35"/>
    </row>
    <row r="142" spans="1:14" ht="120">
      <c r="A142" s="33">
        <v>79</v>
      </c>
      <c r="B142" s="34" t="s">
        <v>566</v>
      </c>
      <c r="C142" s="34" t="s">
        <v>567</v>
      </c>
      <c r="D142" s="33">
        <v>3</v>
      </c>
      <c r="E142" s="35" t="s">
        <v>568</v>
      </c>
      <c r="F142" s="35">
        <v>0.87</v>
      </c>
      <c r="G142" s="35" t="s">
        <v>569</v>
      </c>
      <c r="H142" s="36" t="s">
        <v>570</v>
      </c>
      <c r="I142" s="37">
        <v>5670</v>
      </c>
      <c r="J142" s="35">
        <v>938</v>
      </c>
      <c r="K142" s="35">
        <v>34</v>
      </c>
      <c r="L142" s="35" t="str">
        <f>IF(3*426.8=0," ",TEXT(,ROUND((3*426.8*3.67),2)))</f>
        <v>4699.07</v>
      </c>
      <c r="M142" s="35">
        <v>2.2195</v>
      </c>
      <c r="N142" s="35">
        <v>6.66</v>
      </c>
    </row>
    <row r="143" spans="1:14" ht="24">
      <c r="A143" s="76" t="s">
        <v>206</v>
      </c>
      <c r="B143" s="76"/>
      <c r="C143" s="76"/>
      <c r="D143" s="76"/>
      <c r="E143" s="76"/>
      <c r="F143" s="76"/>
      <c r="G143" s="76"/>
      <c r="H143" s="76"/>
      <c r="I143" s="37">
        <v>22556</v>
      </c>
      <c r="J143" s="35">
        <v>1891</v>
      </c>
      <c r="K143" s="35" t="s">
        <v>571</v>
      </c>
      <c r="L143" s="35">
        <v>19865</v>
      </c>
      <c r="M143" s="35"/>
      <c r="N143" s="35" t="s">
        <v>572</v>
      </c>
    </row>
    <row r="144" spans="1:14" ht="24">
      <c r="A144" s="76" t="s">
        <v>209</v>
      </c>
      <c r="B144" s="76"/>
      <c r="C144" s="76"/>
      <c r="D144" s="76"/>
      <c r="E144" s="76"/>
      <c r="F144" s="76"/>
      <c r="G144" s="76"/>
      <c r="H144" s="76"/>
      <c r="I144" s="37">
        <v>124131</v>
      </c>
      <c r="J144" s="35">
        <v>31108</v>
      </c>
      <c r="K144" s="35" t="s">
        <v>573</v>
      </c>
      <c r="L144" s="35">
        <v>84830</v>
      </c>
      <c r="M144" s="35"/>
      <c r="N144" s="35" t="s">
        <v>572</v>
      </c>
    </row>
    <row r="145" spans="1:14" ht="12">
      <c r="A145" s="76" t="s">
        <v>211</v>
      </c>
      <c r="B145" s="76"/>
      <c r="C145" s="76"/>
      <c r="D145" s="76"/>
      <c r="E145" s="76"/>
      <c r="F145" s="76"/>
      <c r="G145" s="76"/>
      <c r="H145" s="76"/>
      <c r="I145" s="37">
        <v>24622</v>
      </c>
      <c r="J145" s="35"/>
      <c r="K145" s="35"/>
      <c r="L145" s="35"/>
      <c r="M145" s="35"/>
      <c r="N145" s="35"/>
    </row>
    <row r="146" spans="1:14" ht="12">
      <c r="A146" s="76" t="s">
        <v>212</v>
      </c>
      <c r="B146" s="76"/>
      <c r="C146" s="76"/>
      <c r="D146" s="76"/>
      <c r="E146" s="76"/>
      <c r="F146" s="76"/>
      <c r="G146" s="76"/>
      <c r="H146" s="76"/>
      <c r="I146" s="37">
        <v>16046</v>
      </c>
      <c r="J146" s="35"/>
      <c r="K146" s="35"/>
      <c r="L146" s="35"/>
      <c r="M146" s="35"/>
      <c r="N146" s="35"/>
    </row>
    <row r="147" spans="1:14" ht="12">
      <c r="A147" s="75" t="s">
        <v>574</v>
      </c>
      <c r="B147" s="75"/>
      <c r="C147" s="75"/>
      <c r="D147" s="75"/>
      <c r="E147" s="75"/>
      <c r="F147" s="75"/>
      <c r="G147" s="75"/>
      <c r="H147" s="75"/>
      <c r="I147" s="37"/>
      <c r="J147" s="35"/>
      <c r="K147" s="35"/>
      <c r="L147" s="35"/>
      <c r="M147" s="35"/>
      <c r="N147" s="35"/>
    </row>
    <row r="148" spans="1:14" ht="24">
      <c r="A148" s="76" t="s">
        <v>497</v>
      </c>
      <c r="B148" s="76"/>
      <c r="C148" s="76"/>
      <c r="D148" s="76"/>
      <c r="E148" s="76"/>
      <c r="F148" s="76"/>
      <c r="G148" s="76"/>
      <c r="H148" s="76"/>
      <c r="I148" s="37">
        <v>68706</v>
      </c>
      <c r="J148" s="35"/>
      <c r="K148" s="35"/>
      <c r="L148" s="35"/>
      <c r="M148" s="35"/>
      <c r="N148" s="35" t="s">
        <v>515</v>
      </c>
    </row>
    <row r="149" spans="1:14" ht="12">
      <c r="A149" s="76" t="s">
        <v>219</v>
      </c>
      <c r="B149" s="76"/>
      <c r="C149" s="76"/>
      <c r="D149" s="76"/>
      <c r="E149" s="76"/>
      <c r="F149" s="76"/>
      <c r="G149" s="76"/>
      <c r="H149" s="76"/>
      <c r="I149" s="37">
        <v>6048</v>
      </c>
      <c r="J149" s="35"/>
      <c r="K149" s="35"/>
      <c r="L149" s="35"/>
      <c r="M149" s="35"/>
      <c r="N149" s="35">
        <v>9.7</v>
      </c>
    </row>
    <row r="150" spans="1:14" ht="24">
      <c r="A150" s="76" t="s">
        <v>575</v>
      </c>
      <c r="B150" s="76"/>
      <c r="C150" s="76"/>
      <c r="D150" s="76"/>
      <c r="E150" s="76"/>
      <c r="F150" s="76"/>
      <c r="G150" s="76"/>
      <c r="H150" s="76"/>
      <c r="I150" s="37">
        <v>83065</v>
      </c>
      <c r="J150" s="35"/>
      <c r="K150" s="35"/>
      <c r="L150" s="35"/>
      <c r="M150" s="35"/>
      <c r="N150" s="35" t="s">
        <v>576</v>
      </c>
    </row>
    <row r="151" spans="1:14" ht="12">
      <c r="A151" s="76" t="s">
        <v>223</v>
      </c>
      <c r="B151" s="76"/>
      <c r="C151" s="76"/>
      <c r="D151" s="76"/>
      <c r="E151" s="76"/>
      <c r="F151" s="76"/>
      <c r="G151" s="76"/>
      <c r="H151" s="76"/>
      <c r="I151" s="37">
        <v>34</v>
      </c>
      <c r="J151" s="35"/>
      <c r="K151" s="35"/>
      <c r="L151" s="35"/>
      <c r="M151" s="35"/>
      <c r="N151" s="35"/>
    </row>
    <row r="152" spans="1:14" ht="12">
      <c r="A152" s="76" t="s">
        <v>217</v>
      </c>
      <c r="B152" s="76"/>
      <c r="C152" s="76"/>
      <c r="D152" s="76"/>
      <c r="E152" s="76"/>
      <c r="F152" s="76"/>
      <c r="G152" s="76"/>
      <c r="H152" s="76"/>
      <c r="I152" s="37">
        <v>6946</v>
      </c>
      <c r="J152" s="35"/>
      <c r="K152" s="35"/>
      <c r="L152" s="35"/>
      <c r="M152" s="35"/>
      <c r="N152" s="35">
        <v>6.66</v>
      </c>
    </row>
    <row r="153" spans="1:14" ht="24">
      <c r="A153" s="76" t="s">
        <v>224</v>
      </c>
      <c r="B153" s="76"/>
      <c r="C153" s="76"/>
      <c r="D153" s="76"/>
      <c r="E153" s="76"/>
      <c r="F153" s="76"/>
      <c r="G153" s="76"/>
      <c r="H153" s="76"/>
      <c r="I153" s="37">
        <v>164799</v>
      </c>
      <c r="J153" s="35"/>
      <c r="K153" s="35"/>
      <c r="L153" s="35"/>
      <c r="M153" s="35"/>
      <c r="N153" s="35" t="s">
        <v>572</v>
      </c>
    </row>
    <row r="154" spans="1:14" ht="12">
      <c r="A154" s="76" t="s">
        <v>225</v>
      </c>
      <c r="B154" s="76"/>
      <c r="C154" s="76"/>
      <c r="D154" s="76"/>
      <c r="E154" s="76"/>
      <c r="F154" s="76"/>
      <c r="G154" s="76"/>
      <c r="H154" s="76"/>
      <c r="I154" s="37"/>
      <c r="J154" s="35"/>
      <c r="K154" s="35"/>
      <c r="L154" s="35"/>
      <c r="M154" s="35"/>
      <c r="N154" s="35"/>
    </row>
    <row r="155" spans="1:14" ht="12">
      <c r="A155" s="76" t="s">
        <v>226</v>
      </c>
      <c r="B155" s="76"/>
      <c r="C155" s="76"/>
      <c r="D155" s="76"/>
      <c r="E155" s="76"/>
      <c r="F155" s="76"/>
      <c r="G155" s="76"/>
      <c r="H155" s="76"/>
      <c r="I155" s="37">
        <v>84830</v>
      </c>
      <c r="J155" s="35"/>
      <c r="K155" s="35"/>
      <c r="L155" s="35"/>
      <c r="M155" s="35"/>
      <c r="N155" s="35"/>
    </row>
    <row r="156" spans="1:14" ht="12">
      <c r="A156" s="76" t="s">
        <v>227</v>
      </c>
      <c r="B156" s="76"/>
      <c r="C156" s="76"/>
      <c r="D156" s="76"/>
      <c r="E156" s="76"/>
      <c r="F156" s="76"/>
      <c r="G156" s="76"/>
      <c r="H156" s="76"/>
      <c r="I156" s="37">
        <v>8193</v>
      </c>
      <c r="J156" s="35"/>
      <c r="K156" s="35"/>
      <c r="L156" s="35"/>
      <c r="M156" s="35"/>
      <c r="N156" s="35"/>
    </row>
    <row r="157" spans="1:14" ht="12">
      <c r="A157" s="76" t="s">
        <v>228</v>
      </c>
      <c r="B157" s="76"/>
      <c r="C157" s="76"/>
      <c r="D157" s="76"/>
      <c r="E157" s="76"/>
      <c r="F157" s="76"/>
      <c r="G157" s="76"/>
      <c r="H157" s="76"/>
      <c r="I157" s="37">
        <v>32062</v>
      </c>
      <c r="J157" s="35"/>
      <c r="K157" s="35"/>
      <c r="L157" s="35"/>
      <c r="M157" s="35"/>
      <c r="N157" s="35"/>
    </row>
    <row r="158" spans="1:14" ht="12">
      <c r="A158" s="76" t="s">
        <v>229</v>
      </c>
      <c r="B158" s="76"/>
      <c r="C158" s="76"/>
      <c r="D158" s="76"/>
      <c r="E158" s="76"/>
      <c r="F158" s="76"/>
      <c r="G158" s="76"/>
      <c r="H158" s="76"/>
      <c r="I158" s="37">
        <v>24622</v>
      </c>
      <c r="J158" s="35"/>
      <c r="K158" s="35"/>
      <c r="L158" s="35"/>
      <c r="M158" s="35"/>
      <c r="N158" s="35"/>
    </row>
    <row r="159" spans="1:14" ht="12">
      <c r="A159" s="76" t="s">
        <v>230</v>
      </c>
      <c r="B159" s="76"/>
      <c r="C159" s="76"/>
      <c r="D159" s="76"/>
      <c r="E159" s="76"/>
      <c r="F159" s="76"/>
      <c r="G159" s="76"/>
      <c r="H159" s="76"/>
      <c r="I159" s="37">
        <v>16046</v>
      </c>
      <c r="J159" s="35"/>
      <c r="K159" s="35"/>
      <c r="L159" s="35"/>
      <c r="M159" s="35"/>
      <c r="N159" s="35"/>
    </row>
    <row r="160" spans="1:14" ht="24">
      <c r="A160" s="75" t="s">
        <v>577</v>
      </c>
      <c r="B160" s="75"/>
      <c r="C160" s="75"/>
      <c r="D160" s="75"/>
      <c r="E160" s="75"/>
      <c r="F160" s="75"/>
      <c r="G160" s="75"/>
      <c r="H160" s="75"/>
      <c r="I160" s="37">
        <v>164799</v>
      </c>
      <c r="J160" s="35"/>
      <c r="K160" s="35"/>
      <c r="L160" s="35"/>
      <c r="M160" s="35"/>
      <c r="N160" s="35" t="s">
        <v>572</v>
      </c>
    </row>
    <row r="161" spans="1:14" ht="17.25" customHeight="1">
      <c r="A161" s="75" t="s">
        <v>578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  <row r="162" spans="1:14" ht="72">
      <c r="A162" s="33">
        <v>80</v>
      </c>
      <c r="B162" s="34" t="s">
        <v>264</v>
      </c>
      <c r="C162" s="34" t="s">
        <v>579</v>
      </c>
      <c r="D162" s="33">
        <v>5.8</v>
      </c>
      <c r="E162" s="35" t="s">
        <v>266</v>
      </c>
      <c r="F162" s="35">
        <v>5.23</v>
      </c>
      <c r="G162" s="35" t="s">
        <v>267</v>
      </c>
      <c r="H162" s="36" t="s">
        <v>268</v>
      </c>
      <c r="I162" s="37">
        <v>29418</v>
      </c>
      <c r="J162" s="35">
        <v>3455</v>
      </c>
      <c r="K162" s="35">
        <v>343</v>
      </c>
      <c r="L162" s="35" t="str">
        <f>IF(5.8*883.33=0," ",TEXT(,ROUND((5.8*883.33*5),2)))</f>
        <v>25616.57</v>
      </c>
      <c r="M162" s="35">
        <v>4.52</v>
      </c>
      <c r="N162" s="35">
        <v>26.22</v>
      </c>
    </row>
    <row r="163" spans="1:14" ht="60">
      <c r="A163" s="33">
        <v>81</v>
      </c>
      <c r="B163" s="34" t="s">
        <v>336</v>
      </c>
      <c r="C163" s="34" t="s">
        <v>337</v>
      </c>
      <c r="D163" s="33">
        <v>-667</v>
      </c>
      <c r="E163" s="35">
        <v>7.46</v>
      </c>
      <c r="F163" s="35"/>
      <c r="G163" s="35" t="s">
        <v>338</v>
      </c>
      <c r="H163" s="36" t="s">
        <v>339</v>
      </c>
      <c r="I163" s="37">
        <v>-24875</v>
      </c>
      <c r="J163" s="35"/>
      <c r="K163" s="35"/>
      <c r="L163" s="35" t="str">
        <f>IF(-667*7.46=0," ",TEXT(,ROUND((-667*7.46*4.999),2)))</f>
        <v>-24874.12</v>
      </c>
      <c r="M163" s="35"/>
      <c r="N163" s="35"/>
    </row>
    <row r="164" spans="1:14" ht="60">
      <c r="A164" s="33">
        <v>82</v>
      </c>
      <c r="B164" s="34" t="s">
        <v>557</v>
      </c>
      <c r="C164" s="34" t="s">
        <v>580</v>
      </c>
      <c r="D164" s="33">
        <v>66.7</v>
      </c>
      <c r="E164" s="35">
        <v>27.5</v>
      </c>
      <c r="F164" s="35"/>
      <c r="G164" s="35" t="s">
        <v>559</v>
      </c>
      <c r="H164" s="36" t="s">
        <v>560</v>
      </c>
      <c r="I164" s="37">
        <v>9078</v>
      </c>
      <c r="J164" s="35"/>
      <c r="K164" s="35"/>
      <c r="L164" s="35" t="str">
        <f>IF(66.7*27.5=0," ",TEXT(,ROUND((66.7*27.5*4.95),2)))</f>
        <v>9079.54</v>
      </c>
      <c r="M164" s="35"/>
      <c r="N164" s="35"/>
    </row>
    <row r="165" spans="1:14" ht="156">
      <c r="A165" s="33">
        <v>83</v>
      </c>
      <c r="B165" s="34" t="s">
        <v>581</v>
      </c>
      <c r="C165" s="34" t="s">
        <v>582</v>
      </c>
      <c r="D165" s="33">
        <v>4.45</v>
      </c>
      <c r="E165" s="35" t="s">
        <v>583</v>
      </c>
      <c r="F165" s="35" t="s">
        <v>584</v>
      </c>
      <c r="G165" s="35" t="s">
        <v>585</v>
      </c>
      <c r="H165" s="36" t="s">
        <v>586</v>
      </c>
      <c r="I165" s="37">
        <v>43084</v>
      </c>
      <c r="J165" s="35">
        <v>36453</v>
      </c>
      <c r="K165" s="35" t="s">
        <v>587</v>
      </c>
      <c r="L165" s="35" t="str">
        <f>IF(4.45*0=0," ",TEXT(,ROUND((4.45*0*6.8),2)))</f>
        <v> </v>
      </c>
      <c r="M165" s="35" t="s">
        <v>588</v>
      </c>
      <c r="N165" s="35" t="s">
        <v>589</v>
      </c>
    </row>
    <row r="166" spans="1:14" ht="180">
      <c r="A166" s="33">
        <v>84</v>
      </c>
      <c r="B166" s="34" t="s">
        <v>590</v>
      </c>
      <c r="C166" s="34" t="s">
        <v>0</v>
      </c>
      <c r="D166" s="33">
        <v>4.45</v>
      </c>
      <c r="E166" s="35" t="s">
        <v>1</v>
      </c>
      <c r="F166" s="35" t="s">
        <v>2</v>
      </c>
      <c r="G166" s="35" t="s">
        <v>3</v>
      </c>
      <c r="H166" s="36" t="s">
        <v>586</v>
      </c>
      <c r="I166" s="37">
        <v>69142</v>
      </c>
      <c r="J166" s="35">
        <v>56456</v>
      </c>
      <c r="K166" s="35" t="s">
        <v>4</v>
      </c>
      <c r="L166" s="35" t="str">
        <f>IF(4.45*0=0," ",TEXT(,ROUND((4.45*0*6.8),2)))</f>
        <v> </v>
      </c>
      <c r="M166" s="35" t="s">
        <v>5</v>
      </c>
      <c r="N166" s="35" t="s">
        <v>6</v>
      </c>
    </row>
    <row r="167" spans="1:14" ht="48">
      <c r="A167" s="33">
        <v>85</v>
      </c>
      <c r="B167" s="34" t="s">
        <v>7</v>
      </c>
      <c r="C167" s="34" t="s">
        <v>8</v>
      </c>
      <c r="D167" s="33">
        <v>114.59</v>
      </c>
      <c r="E167" s="35">
        <v>693.24</v>
      </c>
      <c r="F167" s="35"/>
      <c r="G167" s="35" t="s">
        <v>9</v>
      </c>
      <c r="H167" s="36" t="s">
        <v>343</v>
      </c>
      <c r="I167" s="37">
        <v>443264</v>
      </c>
      <c r="J167" s="35"/>
      <c r="K167" s="35"/>
      <c r="L167" s="35" t="str">
        <f>IF(114.59*693.24=0," ",TEXT(,ROUND((114.59*693.24*5.58),2)))</f>
        <v>443266.11</v>
      </c>
      <c r="M167" s="35"/>
      <c r="N167" s="35"/>
    </row>
    <row r="168" spans="1:14" ht="156">
      <c r="A168" s="33">
        <v>86</v>
      </c>
      <c r="B168" s="34" t="s">
        <v>590</v>
      </c>
      <c r="C168" s="34" t="s">
        <v>10</v>
      </c>
      <c r="D168" s="33">
        <v>1</v>
      </c>
      <c r="E168" s="35" t="s">
        <v>1</v>
      </c>
      <c r="F168" s="35" t="s">
        <v>2</v>
      </c>
      <c r="G168" s="35" t="s">
        <v>3</v>
      </c>
      <c r="H168" s="36" t="s">
        <v>586</v>
      </c>
      <c r="I168" s="37">
        <v>7774</v>
      </c>
      <c r="J168" s="35">
        <v>6350</v>
      </c>
      <c r="K168" s="35" t="s">
        <v>11</v>
      </c>
      <c r="L168" s="35" t="str">
        <f>IF(1*0=0," ",TEXT(,ROUND((1*0*6.8),2)))</f>
        <v> </v>
      </c>
      <c r="M168" s="35" t="s">
        <v>12</v>
      </c>
      <c r="N168" s="35" t="s">
        <v>13</v>
      </c>
    </row>
    <row r="169" spans="1:14" ht="48">
      <c r="A169" s="33">
        <v>87</v>
      </c>
      <c r="B169" s="34" t="s">
        <v>7</v>
      </c>
      <c r="C169" s="34" t="s">
        <v>8</v>
      </c>
      <c r="D169" s="33" t="s">
        <v>14</v>
      </c>
      <c r="E169" s="35">
        <v>693.24</v>
      </c>
      <c r="F169" s="35"/>
      <c r="G169" s="35" t="s">
        <v>9</v>
      </c>
      <c r="H169" s="36" t="s">
        <v>343</v>
      </c>
      <c r="I169" s="37">
        <v>19921</v>
      </c>
      <c r="J169" s="35"/>
      <c r="K169" s="35"/>
      <c r="L169" s="35" t="str">
        <f>IF(5.15*693.24=0," ",TEXT(,ROUND((5.15*693.24*5.58),2)))</f>
        <v>19921.64</v>
      </c>
      <c r="M169" s="35"/>
      <c r="N169" s="35"/>
    </row>
    <row r="170" spans="1:14" ht="72">
      <c r="A170" s="33">
        <v>88</v>
      </c>
      <c r="B170" s="34" t="s">
        <v>264</v>
      </c>
      <c r="C170" s="34" t="s">
        <v>579</v>
      </c>
      <c r="D170" s="33">
        <v>4.45</v>
      </c>
      <c r="E170" s="35" t="s">
        <v>266</v>
      </c>
      <c r="F170" s="35">
        <v>5.23</v>
      </c>
      <c r="G170" s="35" t="s">
        <v>267</v>
      </c>
      <c r="H170" s="36" t="s">
        <v>268</v>
      </c>
      <c r="I170" s="37">
        <v>22566</v>
      </c>
      <c r="J170" s="35">
        <v>2648</v>
      </c>
      <c r="K170" s="35">
        <v>263</v>
      </c>
      <c r="L170" s="35" t="str">
        <f>IF(4.45*883.33=0," ",TEXT(,ROUND((4.45*883.33*5),2)))</f>
        <v>19654.09</v>
      </c>
      <c r="M170" s="35">
        <v>4.52</v>
      </c>
      <c r="N170" s="35">
        <v>20.11</v>
      </c>
    </row>
    <row r="171" spans="1:14" ht="60">
      <c r="A171" s="33">
        <v>89</v>
      </c>
      <c r="B171" s="34" t="s">
        <v>336</v>
      </c>
      <c r="C171" s="34" t="s">
        <v>337</v>
      </c>
      <c r="D171" s="33">
        <v>-511.8</v>
      </c>
      <c r="E171" s="35">
        <v>7.46</v>
      </c>
      <c r="F171" s="35"/>
      <c r="G171" s="35" t="s">
        <v>338</v>
      </c>
      <c r="H171" s="36" t="s">
        <v>339</v>
      </c>
      <c r="I171" s="37">
        <v>-19086</v>
      </c>
      <c r="J171" s="35"/>
      <c r="K171" s="35"/>
      <c r="L171" s="35" t="str">
        <f>IF(-511.8*7.46=0," ",TEXT(,ROUND((-511.8*7.46*4.999),2)))</f>
        <v>-19086.32</v>
      </c>
      <c r="M171" s="35"/>
      <c r="N171" s="35"/>
    </row>
    <row r="172" spans="1:14" ht="60">
      <c r="A172" s="33">
        <v>90</v>
      </c>
      <c r="B172" s="34" t="s">
        <v>15</v>
      </c>
      <c r="C172" s="34" t="s">
        <v>16</v>
      </c>
      <c r="D172" s="33">
        <v>51.18</v>
      </c>
      <c r="E172" s="35">
        <v>39.2</v>
      </c>
      <c r="F172" s="35"/>
      <c r="G172" s="35" t="s">
        <v>17</v>
      </c>
      <c r="H172" s="36" t="s">
        <v>18</v>
      </c>
      <c r="I172" s="37">
        <v>9950</v>
      </c>
      <c r="J172" s="35"/>
      <c r="K172" s="35"/>
      <c r="L172" s="35" t="str">
        <f>IF(51.18*39.2=0," ",TEXT(,ROUND((51.18*39.2*4.96),2)))</f>
        <v>9951.03</v>
      </c>
      <c r="M172" s="35"/>
      <c r="N172" s="35"/>
    </row>
    <row r="173" spans="1:14" ht="132">
      <c r="A173" s="33">
        <v>91</v>
      </c>
      <c r="B173" s="34" t="s">
        <v>169</v>
      </c>
      <c r="C173" s="34" t="s">
        <v>19</v>
      </c>
      <c r="D173" s="33">
        <v>0.01</v>
      </c>
      <c r="E173" s="35" t="s">
        <v>171</v>
      </c>
      <c r="F173" s="35" t="s">
        <v>172</v>
      </c>
      <c r="G173" s="35" t="s">
        <v>173</v>
      </c>
      <c r="H173" s="36" t="s">
        <v>174</v>
      </c>
      <c r="I173" s="37">
        <v>4436</v>
      </c>
      <c r="J173" s="35">
        <v>197</v>
      </c>
      <c r="K173" s="35" t="s">
        <v>20</v>
      </c>
      <c r="L173" s="35" t="str">
        <f>IF(0.01*50060.29=0," ",TEXT(,ROUND((0.01*50060.29*8.17),2)))</f>
        <v>4089.93</v>
      </c>
      <c r="M173" s="35" t="s">
        <v>21</v>
      </c>
      <c r="N173" s="35" t="s">
        <v>22</v>
      </c>
    </row>
    <row r="174" spans="1:14" ht="108">
      <c r="A174" s="33">
        <v>92</v>
      </c>
      <c r="B174" s="34" t="s">
        <v>23</v>
      </c>
      <c r="C174" s="34" t="s">
        <v>24</v>
      </c>
      <c r="D174" s="33">
        <v>-1</v>
      </c>
      <c r="E174" s="35">
        <v>484</v>
      </c>
      <c r="F174" s="35"/>
      <c r="G174" s="35" t="s">
        <v>25</v>
      </c>
      <c r="H174" s="36" t="s">
        <v>26</v>
      </c>
      <c r="I174" s="37">
        <v>-3999</v>
      </c>
      <c r="J174" s="35"/>
      <c r="K174" s="35"/>
      <c r="L174" s="35" t="str">
        <f>IF(-1*484=0," ",TEXT(,ROUND((-1*484*8.263),2)))</f>
        <v>-3999.29</v>
      </c>
      <c r="M174" s="35"/>
      <c r="N174" s="35"/>
    </row>
    <row r="175" spans="1:14" ht="120">
      <c r="A175" s="33">
        <v>93</v>
      </c>
      <c r="B175" s="34" t="s">
        <v>27</v>
      </c>
      <c r="C175" s="34" t="s">
        <v>28</v>
      </c>
      <c r="D175" s="33">
        <v>1</v>
      </c>
      <c r="E175" s="35">
        <v>546.92</v>
      </c>
      <c r="F175" s="35"/>
      <c r="G175" s="35" t="s">
        <v>29</v>
      </c>
      <c r="H175" s="36" t="s">
        <v>30</v>
      </c>
      <c r="I175" s="37">
        <v>3863</v>
      </c>
      <c r="J175" s="35"/>
      <c r="K175" s="35"/>
      <c r="L175" s="35" t="str">
        <f>IF(1*546.92=0," ",TEXT(,ROUND((1*546.92*7.063),2)))</f>
        <v>3862.9</v>
      </c>
      <c r="M175" s="35"/>
      <c r="N175" s="35"/>
    </row>
    <row r="176" spans="1:14" ht="120">
      <c r="A176" s="33">
        <v>94</v>
      </c>
      <c r="B176" s="34" t="s">
        <v>31</v>
      </c>
      <c r="C176" s="34" t="s">
        <v>32</v>
      </c>
      <c r="D176" s="33">
        <v>1.16</v>
      </c>
      <c r="E176" s="35" t="s">
        <v>33</v>
      </c>
      <c r="F176" s="35" t="s">
        <v>34</v>
      </c>
      <c r="G176" s="35" t="s">
        <v>35</v>
      </c>
      <c r="H176" s="36" t="s">
        <v>36</v>
      </c>
      <c r="I176" s="37">
        <v>7129</v>
      </c>
      <c r="J176" s="35">
        <v>691</v>
      </c>
      <c r="K176" s="35" t="s">
        <v>37</v>
      </c>
      <c r="L176" s="35" t="str">
        <f>IF(1.16*1007.15=0," ",TEXT(,ROUND((1.16*1007.15*5.34),2)))</f>
        <v>6238.69</v>
      </c>
      <c r="M176" s="35" t="s">
        <v>38</v>
      </c>
      <c r="N176" s="35" t="s">
        <v>39</v>
      </c>
    </row>
    <row r="177" spans="1:14" ht="192">
      <c r="A177" s="33">
        <v>95</v>
      </c>
      <c r="B177" s="34" t="s">
        <v>40</v>
      </c>
      <c r="C177" s="34" t="s">
        <v>41</v>
      </c>
      <c r="D177" s="33">
        <v>13.85</v>
      </c>
      <c r="E177" s="35" t="s">
        <v>42</v>
      </c>
      <c r="F177" s="35" t="s">
        <v>43</v>
      </c>
      <c r="G177" s="35" t="s">
        <v>44</v>
      </c>
      <c r="H177" s="36" t="s">
        <v>45</v>
      </c>
      <c r="I177" s="37">
        <v>54814</v>
      </c>
      <c r="J177" s="35">
        <v>32160</v>
      </c>
      <c r="K177" s="35" t="s">
        <v>46</v>
      </c>
      <c r="L177" s="35" t="str">
        <f>IF(13.85*1.84=0," ",TEXT(,ROUND((13.85*1.84*19.16),2)))</f>
        <v>488.27</v>
      </c>
      <c r="M177" s="35" t="s">
        <v>47</v>
      </c>
      <c r="N177" s="35" t="s">
        <v>48</v>
      </c>
    </row>
    <row r="178" spans="1:14" ht="60">
      <c r="A178" s="33">
        <v>96</v>
      </c>
      <c r="B178" s="34" t="s">
        <v>49</v>
      </c>
      <c r="C178" s="34" t="s">
        <v>50</v>
      </c>
      <c r="D178" s="33">
        <v>415.5</v>
      </c>
      <c r="E178" s="35">
        <v>18.53</v>
      </c>
      <c r="F178" s="35"/>
      <c r="G178" s="35" t="s">
        <v>51</v>
      </c>
      <c r="H178" s="36" t="s">
        <v>52</v>
      </c>
      <c r="I178" s="37">
        <v>94159</v>
      </c>
      <c r="J178" s="35"/>
      <c r="K178" s="35"/>
      <c r="L178" s="35" t="str">
        <f>IF(415.5*18.53=0," ",TEXT(,ROUND((415.5*18.53*12.23),2)))</f>
        <v>94161.4</v>
      </c>
      <c r="M178" s="35"/>
      <c r="N178" s="35"/>
    </row>
    <row r="179" spans="1:14" ht="24">
      <c r="A179" s="76" t="s">
        <v>206</v>
      </c>
      <c r="B179" s="76"/>
      <c r="C179" s="76"/>
      <c r="D179" s="76"/>
      <c r="E179" s="76"/>
      <c r="F179" s="76"/>
      <c r="G179" s="76"/>
      <c r="H179" s="76"/>
      <c r="I179" s="37">
        <v>109352</v>
      </c>
      <c r="J179" s="35">
        <v>8414</v>
      </c>
      <c r="K179" s="35" t="s">
        <v>53</v>
      </c>
      <c r="L179" s="35">
        <v>96565</v>
      </c>
      <c r="M179" s="35"/>
      <c r="N179" s="35" t="s">
        <v>54</v>
      </c>
    </row>
    <row r="180" spans="1:14" ht="24">
      <c r="A180" s="76" t="s">
        <v>209</v>
      </c>
      <c r="B180" s="76"/>
      <c r="C180" s="76"/>
      <c r="D180" s="76"/>
      <c r="E180" s="76"/>
      <c r="F180" s="76"/>
      <c r="G180" s="76"/>
      <c r="H180" s="76"/>
      <c r="I180" s="37">
        <v>770637</v>
      </c>
      <c r="J180" s="35">
        <v>138410</v>
      </c>
      <c r="K180" s="35" t="s">
        <v>55</v>
      </c>
      <c r="L180" s="35">
        <v>588356</v>
      </c>
      <c r="M180" s="35"/>
      <c r="N180" s="35" t="s">
        <v>54</v>
      </c>
    </row>
    <row r="181" spans="1:14" ht="12">
      <c r="A181" s="76" t="s">
        <v>211</v>
      </c>
      <c r="B181" s="76"/>
      <c r="C181" s="76"/>
      <c r="D181" s="76"/>
      <c r="E181" s="76"/>
      <c r="F181" s="76"/>
      <c r="G181" s="76"/>
      <c r="H181" s="76"/>
      <c r="I181" s="37">
        <v>123640</v>
      </c>
      <c r="J181" s="35"/>
      <c r="K181" s="35"/>
      <c r="L181" s="35"/>
      <c r="M181" s="35"/>
      <c r="N181" s="35"/>
    </row>
    <row r="182" spans="1:14" ht="12">
      <c r="A182" s="76" t="s">
        <v>212</v>
      </c>
      <c r="B182" s="76"/>
      <c r="C182" s="76"/>
      <c r="D182" s="76"/>
      <c r="E182" s="76"/>
      <c r="F182" s="76"/>
      <c r="G182" s="76"/>
      <c r="H182" s="76"/>
      <c r="I182" s="37">
        <v>63878</v>
      </c>
      <c r="J182" s="35"/>
      <c r="K182" s="35"/>
      <c r="L182" s="35"/>
      <c r="M182" s="35"/>
      <c r="N182" s="35"/>
    </row>
    <row r="183" spans="1:14" ht="12">
      <c r="A183" s="75" t="s">
        <v>56</v>
      </c>
      <c r="B183" s="75"/>
      <c r="C183" s="75"/>
      <c r="D183" s="75"/>
      <c r="E183" s="75"/>
      <c r="F183" s="75"/>
      <c r="G183" s="75"/>
      <c r="H183" s="75"/>
      <c r="I183" s="37"/>
      <c r="J183" s="35"/>
      <c r="K183" s="35"/>
      <c r="L183" s="35"/>
      <c r="M183" s="35"/>
      <c r="N183" s="35"/>
    </row>
    <row r="184" spans="1:14" ht="12">
      <c r="A184" s="76" t="s">
        <v>501</v>
      </c>
      <c r="B184" s="76"/>
      <c r="C184" s="76"/>
      <c r="D184" s="76"/>
      <c r="E184" s="76"/>
      <c r="F184" s="76"/>
      <c r="G184" s="76"/>
      <c r="H184" s="76"/>
      <c r="I184" s="37">
        <v>59490</v>
      </c>
      <c r="J184" s="35"/>
      <c r="K184" s="35"/>
      <c r="L184" s="35"/>
      <c r="M184" s="35"/>
      <c r="N184" s="35">
        <v>46.33</v>
      </c>
    </row>
    <row r="185" spans="1:14" ht="12">
      <c r="A185" s="76" t="s">
        <v>223</v>
      </c>
      <c r="B185" s="76"/>
      <c r="C185" s="76"/>
      <c r="D185" s="76"/>
      <c r="E185" s="76"/>
      <c r="F185" s="76"/>
      <c r="G185" s="76"/>
      <c r="H185" s="76"/>
      <c r="I185" s="37">
        <v>532275</v>
      </c>
      <c r="J185" s="35"/>
      <c r="K185" s="35"/>
      <c r="L185" s="35"/>
      <c r="M185" s="35"/>
      <c r="N185" s="35"/>
    </row>
    <row r="186" spans="1:14" ht="24">
      <c r="A186" s="76" t="s">
        <v>217</v>
      </c>
      <c r="B186" s="76"/>
      <c r="C186" s="76"/>
      <c r="D186" s="76"/>
      <c r="E186" s="76"/>
      <c r="F186" s="76"/>
      <c r="G186" s="76"/>
      <c r="H186" s="76"/>
      <c r="I186" s="37">
        <v>257966</v>
      </c>
      <c r="J186" s="35"/>
      <c r="K186" s="35"/>
      <c r="L186" s="35"/>
      <c r="M186" s="35"/>
      <c r="N186" s="35" t="s">
        <v>57</v>
      </c>
    </row>
    <row r="187" spans="1:14" ht="24">
      <c r="A187" s="76" t="s">
        <v>219</v>
      </c>
      <c r="B187" s="76"/>
      <c r="C187" s="76"/>
      <c r="D187" s="76"/>
      <c r="E187" s="76"/>
      <c r="F187" s="76"/>
      <c r="G187" s="76"/>
      <c r="H187" s="76"/>
      <c r="I187" s="37">
        <v>12834</v>
      </c>
      <c r="J187" s="35"/>
      <c r="K187" s="35"/>
      <c r="L187" s="35"/>
      <c r="M187" s="35"/>
      <c r="N187" s="35" t="s">
        <v>58</v>
      </c>
    </row>
    <row r="188" spans="1:14" ht="24">
      <c r="A188" s="76" t="s">
        <v>575</v>
      </c>
      <c r="B188" s="76"/>
      <c r="C188" s="76"/>
      <c r="D188" s="76"/>
      <c r="E188" s="76"/>
      <c r="F188" s="76"/>
      <c r="G188" s="76"/>
      <c r="H188" s="76"/>
      <c r="I188" s="37">
        <v>95590</v>
      </c>
      <c r="J188" s="35"/>
      <c r="K188" s="35"/>
      <c r="L188" s="35"/>
      <c r="M188" s="35"/>
      <c r="N188" s="35" t="s">
        <v>48</v>
      </c>
    </row>
    <row r="189" spans="1:14" ht="24">
      <c r="A189" s="76" t="s">
        <v>224</v>
      </c>
      <c r="B189" s="76"/>
      <c r="C189" s="76"/>
      <c r="D189" s="76"/>
      <c r="E189" s="76"/>
      <c r="F189" s="76"/>
      <c r="G189" s="76"/>
      <c r="H189" s="76"/>
      <c r="I189" s="37">
        <v>958155</v>
      </c>
      <c r="J189" s="35"/>
      <c r="K189" s="35"/>
      <c r="L189" s="35"/>
      <c r="M189" s="35"/>
      <c r="N189" s="35" t="s">
        <v>54</v>
      </c>
    </row>
    <row r="190" spans="1:14" ht="12">
      <c r="A190" s="76" t="s">
        <v>225</v>
      </c>
      <c r="B190" s="76"/>
      <c r="C190" s="76"/>
      <c r="D190" s="76"/>
      <c r="E190" s="76"/>
      <c r="F190" s="76"/>
      <c r="G190" s="76"/>
      <c r="H190" s="76"/>
      <c r="I190" s="37"/>
      <c r="J190" s="35"/>
      <c r="K190" s="35"/>
      <c r="L190" s="35"/>
      <c r="M190" s="35"/>
      <c r="N190" s="35"/>
    </row>
    <row r="191" spans="1:14" ht="12">
      <c r="A191" s="76" t="s">
        <v>226</v>
      </c>
      <c r="B191" s="76"/>
      <c r="C191" s="76"/>
      <c r="D191" s="76"/>
      <c r="E191" s="76"/>
      <c r="F191" s="76"/>
      <c r="G191" s="76"/>
      <c r="H191" s="76"/>
      <c r="I191" s="37">
        <v>588356</v>
      </c>
      <c r="J191" s="35"/>
      <c r="K191" s="35"/>
      <c r="L191" s="35"/>
      <c r="M191" s="35"/>
      <c r="N191" s="35"/>
    </row>
    <row r="192" spans="1:14" ht="12">
      <c r="A192" s="76" t="s">
        <v>227</v>
      </c>
      <c r="B192" s="76"/>
      <c r="C192" s="76"/>
      <c r="D192" s="76"/>
      <c r="E192" s="76"/>
      <c r="F192" s="76"/>
      <c r="G192" s="76"/>
      <c r="H192" s="76"/>
      <c r="I192" s="37">
        <v>43871</v>
      </c>
      <c r="J192" s="35"/>
      <c r="K192" s="35"/>
      <c r="L192" s="35"/>
      <c r="M192" s="35"/>
      <c r="N192" s="35"/>
    </row>
    <row r="193" spans="1:14" ht="12">
      <c r="A193" s="76" t="s">
        <v>228</v>
      </c>
      <c r="B193" s="76"/>
      <c r="C193" s="76"/>
      <c r="D193" s="76"/>
      <c r="E193" s="76"/>
      <c r="F193" s="76"/>
      <c r="G193" s="76"/>
      <c r="H193" s="76"/>
      <c r="I193" s="37">
        <v>141124</v>
      </c>
      <c r="J193" s="35"/>
      <c r="K193" s="35"/>
      <c r="L193" s="35"/>
      <c r="M193" s="35"/>
      <c r="N193" s="35"/>
    </row>
    <row r="194" spans="1:14" ht="12">
      <c r="A194" s="76" t="s">
        <v>229</v>
      </c>
      <c r="B194" s="76"/>
      <c r="C194" s="76"/>
      <c r="D194" s="76"/>
      <c r="E194" s="76"/>
      <c r="F194" s="76"/>
      <c r="G194" s="76"/>
      <c r="H194" s="76"/>
      <c r="I194" s="37">
        <v>123640</v>
      </c>
      <c r="J194" s="35"/>
      <c r="K194" s="35"/>
      <c r="L194" s="35"/>
      <c r="M194" s="35"/>
      <c r="N194" s="35"/>
    </row>
    <row r="195" spans="1:14" ht="12">
      <c r="A195" s="76" t="s">
        <v>230</v>
      </c>
      <c r="B195" s="76"/>
      <c r="C195" s="76"/>
      <c r="D195" s="76"/>
      <c r="E195" s="76"/>
      <c r="F195" s="76"/>
      <c r="G195" s="76"/>
      <c r="H195" s="76"/>
      <c r="I195" s="37">
        <v>63878</v>
      </c>
      <c r="J195" s="35"/>
      <c r="K195" s="35"/>
      <c r="L195" s="35"/>
      <c r="M195" s="35"/>
      <c r="N195" s="35"/>
    </row>
    <row r="196" spans="1:14" ht="24">
      <c r="A196" s="75" t="s">
        <v>59</v>
      </c>
      <c r="B196" s="75"/>
      <c r="C196" s="75"/>
      <c r="D196" s="75"/>
      <c r="E196" s="75"/>
      <c r="F196" s="75"/>
      <c r="G196" s="75"/>
      <c r="H196" s="75"/>
      <c r="I196" s="37">
        <v>958155</v>
      </c>
      <c r="J196" s="35"/>
      <c r="K196" s="35"/>
      <c r="L196" s="35"/>
      <c r="M196" s="35"/>
      <c r="N196" s="35" t="s">
        <v>54</v>
      </c>
    </row>
    <row r="197" spans="1:14" ht="17.25" customHeight="1">
      <c r="A197" s="75" t="s">
        <v>60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</row>
    <row r="198" spans="1:14" ht="144">
      <c r="A198" s="33">
        <v>97</v>
      </c>
      <c r="B198" s="34" t="s">
        <v>61</v>
      </c>
      <c r="C198" s="34" t="s">
        <v>62</v>
      </c>
      <c r="D198" s="33">
        <v>0.18</v>
      </c>
      <c r="E198" s="35" t="s">
        <v>63</v>
      </c>
      <c r="F198" s="35" t="s">
        <v>64</v>
      </c>
      <c r="G198" s="35" t="s">
        <v>65</v>
      </c>
      <c r="H198" s="36" t="s">
        <v>66</v>
      </c>
      <c r="I198" s="37">
        <v>6138</v>
      </c>
      <c r="J198" s="35">
        <v>2073</v>
      </c>
      <c r="K198" s="35">
        <v>11</v>
      </c>
      <c r="L198" s="35" t="str">
        <f>IF(0.18*7166.84=0," ",TEXT(,ROUND((0.18*7166.84*3.14),2)))</f>
        <v>4050.7</v>
      </c>
      <c r="M198" s="35" t="s">
        <v>67</v>
      </c>
      <c r="N198" s="35" t="s">
        <v>68</v>
      </c>
    </row>
    <row r="199" spans="1:14" ht="156">
      <c r="A199" s="33">
        <v>98</v>
      </c>
      <c r="B199" s="34" t="s">
        <v>69</v>
      </c>
      <c r="C199" s="34" t="s">
        <v>70</v>
      </c>
      <c r="D199" s="33">
        <v>0.65</v>
      </c>
      <c r="E199" s="35" t="s">
        <v>71</v>
      </c>
      <c r="F199" s="35">
        <v>57.15</v>
      </c>
      <c r="G199" s="35" t="s">
        <v>72</v>
      </c>
      <c r="H199" s="36" t="s">
        <v>73</v>
      </c>
      <c r="I199" s="37">
        <v>5755</v>
      </c>
      <c r="J199" s="35">
        <v>2270</v>
      </c>
      <c r="K199" s="35">
        <v>521</v>
      </c>
      <c r="L199" s="35" t="str">
        <f>IF(0.65*1320.96=0," ",TEXT(,ROUND((0.65*1320.96*3.45),2)))</f>
        <v>2962.25</v>
      </c>
      <c r="M199" s="35">
        <v>21.6775</v>
      </c>
      <c r="N199" s="35">
        <v>14.09</v>
      </c>
    </row>
    <row r="200" spans="1:14" ht="60">
      <c r="A200" s="33">
        <v>99</v>
      </c>
      <c r="B200" s="34" t="s">
        <v>74</v>
      </c>
      <c r="C200" s="34" t="s">
        <v>75</v>
      </c>
      <c r="D200" s="33">
        <v>-1.001</v>
      </c>
      <c r="E200" s="35">
        <v>542.4</v>
      </c>
      <c r="F200" s="35"/>
      <c r="G200" s="35" t="s">
        <v>76</v>
      </c>
      <c r="H200" s="36" t="s">
        <v>77</v>
      </c>
      <c r="I200" s="37">
        <v>-1859</v>
      </c>
      <c r="J200" s="35"/>
      <c r="K200" s="35"/>
      <c r="L200" s="35" t="str">
        <f>IF(-1.001*542.4=0," ",TEXT(,ROUND((-1.001*542.4*3.423),2)))</f>
        <v>-1858.49</v>
      </c>
      <c r="M200" s="35"/>
      <c r="N200" s="35"/>
    </row>
    <row r="201" spans="1:14" ht="60">
      <c r="A201" s="33">
        <v>100</v>
      </c>
      <c r="B201" s="34" t="s">
        <v>78</v>
      </c>
      <c r="C201" s="34" t="s">
        <v>79</v>
      </c>
      <c r="D201" s="33">
        <v>0.67</v>
      </c>
      <c r="E201" s="35">
        <v>386.81</v>
      </c>
      <c r="F201" s="35"/>
      <c r="G201" s="35" t="s">
        <v>80</v>
      </c>
      <c r="H201" s="36" t="s">
        <v>81</v>
      </c>
      <c r="I201" s="37">
        <v>1184</v>
      </c>
      <c r="J201" s="35"/>
      <c r="K201" s="35"/>
      <c r="L201" s="35" t="str">
        <f>IF(0.67*386.81=0," ",TEXT(,ROUND((0.67*386.81*4.573),2)))</f>
        <v>1185.15</v>
      </c>
      <c r="M201" s="35"/>
      <c r="N201" s="35"/>
    </row>
    <row r="202" spans="1:14" ht="144">
      <c r="A202" s="33">
        <v>101</v>
      </c>
      <c r="B202" s="34" t="s">
        <v>548</v>
      </c>
      <c r="C202" s="34" t="s">
        <v>549</v>
      </c>
      <c r="D202" s="33">
        <v>0.065</v>
      </c>
      <c r="E202" s="35" t="s">
        <v>550</v>
      </c>
      <c r="F202" s="35">
        <v>50.59</v>
      </c>
      <c r="G202" s="35" t="s">
        <v>551</v>
      </c>
      <c r="H202" s="36" t="s">
        <v>82</v>
      </c>
      <c r="I202" s="37">
        <v>1032</v>
      </c>
      <c r="J202" s="35">
        <v>229</v>
      </c>
      <c r="K202" s="35">
        <v>32</v>
      </c>
      <c r="L202" s="35" t="str">
        <f>IF(0.065*1404.64=0," ",TEXT(,ROUND((0.065*1404.64*8.47),2)))</f>
        <v>773.32</v>
      </c>
      <c r="M202" s="35">
        <v>36.777</v>
      </c>
      <c r="N202" s="35">
        <v>2.39</v>
      </c>
    </row>
    <row r="203" spans="1:14" ht="60">
      <c r="A203" s="33">
        <v>102</v>
      </c>
      <c r="B203" s="34" t="s">
        <v>553</v>
      </c>
      <c r="C203" s="34" t="s">
        <v>554</v>
      </c>
      <c r="D203" s="33">
        <v>-0.0075</v>
      </c>
      <c r="E203" s="35">
        <v>7800</v>
      </c>
      <c r="F203" s="35"/>
      <c r="G203" s="35" t="s">
        <v>555</v>
      </c>
      <c r="H203" s="36" t="s">
        <v>556</v>
      </c>
      <c r="I203" s="37">
        <v>-706</v>
      </c>
      <c r="J203" s="35"/>
      <c r="K203" s="35"/>
      <c r="L203" s="35" t="str">
        <f>IF(-0.0075*7800=0," ",TEXT(,ROUND((-0.0075*7800*11.969),2)))</f>
        <v>-700.19</v>
      </c>
      <c r="M203" s="35"/>
      <c r="N203" s="35"/>
    </row>
    <row r="204" spans="1:14" ht="60">
      <c r="A204" s="33">
        <v>103</v>
      </c>
      <c r="B204" s="34" t="s">
        <v>561</v>
      </c>
      <c r="C204" s="34" t="s">
        <v>562</v>
      </c>
      <c r="D204" s="33">
        <v>0.0115</v>
      </c>
      <c r="E204" s="35">
        <v>22020</v>
      </c>
      <c r="F204" s="35"/>
      <c r="G204" s="35" t="s">
        <v>564</v>
      </c>
      <c r="H204" s="36" t="s">
        <v>565</v>
      </c>
      <c r="I204" s="37">
        <v>389</v>
      </c>
      <c r="J204" s="35"/>
      <c r="K204" s="35"/>
      <c r="L204" s="35" t="str">
        <f>IF(0.0115*22020=0," ",TEXT(,ROUND((0.0115*22020*1.537),2)))</f>
        <v>389.21</v>
      </c>
      <c r="M204" s="35"/>
      <c r="N204" s="35"/>
    </row>
    <row r="205" spans="1:14" ht="60">
      <c r="A205" s="33">
        <v>104</v>
      </c>
      <c r="B205" s="34" t="s">
        <v>557</v>
      </c>
      <c r="C205" s="34" t="s">
        <v>558</v>
      </c>
      <c r="D205" s="33">
        <v>0.7475</v>
      </c>
      <c r="E205" s="35">
        <v>27.5</v>
      </c>
      <c r="F205" s="35"/>
      <c r="G205" s="35" t="s">
        <v>559</v>
      </c>
      <c r="H205" s="36" t="s">
        <v>560</v>
      </c>
      <c r="I205" s="37">
        <v>104</v>
      </c>
      <c r="J205" s="35"/>
      <c r="K205" s="35"/>
      <c r="L205" s="35" t="str">
        <f>IF(0.7475*27.5=0," ",TEXT(,ROUND((0.7475*27.5*4.95),2)))</f>
        <v>101.75</v>
      </c>
      <c r="M205" s="35"/>
      <c r="N205" s="35"/>
    </row>
    <row r="206" spans="1:14" ht="180">
      <c r="A206" s="33">
        <v>105</v>
      </c>
      <c r="B206" s="34" t="s">
        <v>532</v>
      </c>
      <c r="C206" s="34" t="s">
        <v>533</v>
      </c>
      <c r="D206" s="33">
        <v>0.06</v>
      </c>
      <c r="E206" s="35" t="s">
        <v>534</v>
      </c>
      <c r="F206" s="35">
        <v>578.44</v>
      </c>
      <c r="G206" s="35" t="s">
        <v>535</v>
      </c>
      <c r="H206" s="36" t="s">
        <v>536</v>
      </c>
      <c r="I206" s="37">
        <v>3669</v>
      </c>
      <c r="J206" s="35">
        <v>1431</v>
      </c>
      <c r="K206" s="35">
        <v>344</v>
      </c>
      <c r="L206" s="35" t="str">
        <f>IF(0.06*8515.41=0," ",TEXT(,ROUND((0.06*8515.41*3.7),2)))</f>
        <v>1890.42</v>
      </c>
      <c r="M206" s="35">
        <v>160.4825</v>
      </c>
      <c r="N206" s="35">
        <v>9.63</v>
      </c>
    </row>
    <row r="207" spans="1:14" ht="24">
      <c r="A207" s="76" t="s">
        <v>206</v>
      </c>
      <c r="B207" s="76"/>
      <c r="C207" s="76"/>
      <c r="D207" s="76"/>
      <c r="E207" s="76"/>
      <c r="F207" s="76"/>
      <c r="G207" s="76"/>
      <c r="H207" s="76"/>
      <c r="I207" s="37">
        <v>3150</v>
      </c>
      <c r="J207" s="35">
        <v>372</v>
      </c>
      <c r="K207" s="35">
        <v>94</v>
      </c>
      <c r="L207" s="35">
        <v>2684</v>
      </c>
      <c r="M207" s="35"/>
      <c r="N207" s="35" t="s">
        <v>83</v>
      </c>
    </row>
    <row r="208" spans="1:14" ht="24">
      <c r="A208" s="76" t="s">
        <v>209</v>
      </c>
      <c r="B208" s="76"/>
      <c r="C208" s="76"/>
      <c r="D208" s="76"/>
      <c r="E208" s="76"/>
      <c r="F208" s="76"/>
      <c r="G208" s="76"/>
      <c r="H208" s="76"/>
      <c r="I208" s="37">
        <v>15706</v>
      </c>
      <c r="J208" s="35">
        <v>6003</v>
      </c>
      <c r="K208" s="35">
        <v>908</v>
      </c>
      <c r="L208" s="35">
        <v>8795</v>
      </c>
      <c r="M208" s="35"/>
      <c r="N208" s="35" t="s">
        <v>83</v>
      </c>
    </row>
    <row r="209" spans="1:14" ht="12">
      <c r="A209" s="76" t="s">
        <v>211</v>
      </c>
      <c r="B209" s="76"/>
      <c r="C209" s="76"/>
      <c r="D209" s="76"/>
      <c r="E209" s="76"/>
      <c r="F209" s="76"/>
      <c r="G209" s="76"/>
      <c r="H209" s="76"/>
      <c r="I209" s="37">
        <v>5058</v>
      </c>
      <c r="J209" s="35"/>
      <c r="K209" s="35"/>
      <c r="L209" s="35"/>
      <c r="M209" s="35"/>
      <c r="N209" s="35"/>
    </row>
    <row r="210" spans="1:14" ht="12">
      <c r="A210" s="76" t="s">
        <v>212</v>
      </c>
      <c r="B210" s="76"/>
      <c r="C210" s="76"/>
      <c r="D210" s="76"/>
      <c r="E210" s="76"/>
      <c r="F210" s="76"/>
      <c r="G210" s="76"/>
      <c r="H210" s="76"/>
      <c r="I210" s="37">
        <v>3047</v>
      </c>
      <c r="J210" s="35"/>
      <c r="K210" s="35"/>
      <c r="L210" s="35"/>
      <c r="M210" s="35"/>
      <c r="N210" s="35"/>
    </row>
    <row r="211" spans="1:14" ht="12">
      <c r="A211" s="75" t="s">
        <v>84</v>
      </c>
      <c r="B211" s="75"/>
      <c r="C211" s="75"/>
      <c r="D211" s="75"/>
      <c r="E211" s="75"/>
      <c r="F211" s="75"/>
      <c r="G211" s="75"/>
      <c r="H211" s="75"/>
      <c r="I211" s="37"/>
      <c r="J211" s="35"/>
      <c r="K211" s="35"/>
      <c r="L211" s="35"/>
      <c r="M211" s="35"/>
      <c r="N211" s="35"/>
    </row>
    <row r="212" spans="1:14" ht="21.75" customHeight="1">
      <c r="A212" s="76" t="s">
        <v>505</v>
      </c>
      <c r="B212" s="76"/>
      <c r="C212" s="76"/>
      <c r="D212" s="76"/>
      <c r="E212" s="76"/>
      <c r="F212" s="76"/>
      <c r="G212" s="76"/>
      <c r="H212" s="76"/>
      <c r="I212" s="37">
        <v>9331</v>
      </c>
      <c r="J212" s="35"/>
      <c r="K212" s="35"/>
      <c r="L212" s="35"/>
      <c r="M212" s="35"/>
      <c r="N212" s="35" t="s">
        <v>68</v>
      </c>
    </row>
    <row r="213" spans="1:14" ht="12">
      <c r="A213" s="76" t="s">
        <v>575</v>
      </c>
      <c r="B213" s="76"/>
      <c r="C213" s="76"/>
      <c r="D213" s="76"/>
      <c r="E213" s="76"/>
      <c r="F213" s="76"/>
      <c r="G213" s="76"/>
      <c r="H213" s="76"/>
      <c r="I213" s="37">
        <v>14693</v>
      </c>
      <c r="J213" s="35"/>
      <c r="K213" s="35"/>
      <c r="L213" s="35"/>
      <c r="M213" s="35"/>
      <c r="N213" s="35">
        <v>26.11</v>
      </c>
    </row>
    <row r="214" spans="1:14" ht="12">
      <c r="A214" s="76" t="s">
        <v>223</v>
      </c>
      <c r="B214" s="76"/>
      <c r="C214" s="76"/>
      <c r="D214" s="76"/>
      <c r="E214" s="76"/>
      <c r="F214" s="76"/>
      <c r="G214" s="76"/>
      <c r="H214" s="76"/>
      <c r="I214" s="37">
        <v>-213</v>
      </c>
      <c r="J214" s="35"/>
      <c r="K214" s="35"/>
      <c r="L214" s="35"/>
      <c r="M214" s="35"/>
      <c r="N214" s="35"/>
    </row>
    <row r="215" spans="1:14" ht="24">
      <c r="A215" s="76" t="s">
        <v>224</v>
      </c>
      <c r="B215" s="76"/>
      <c r="C215" s="76"/>
      <c r="D215" s="76"/>
      <c r="E215" s="76"/>
      <c r="F215" s="76"/>
      <c r="G215" s="76"/>
      <c r="H215" s="76"/>
      <c r="I215" s="37">
        <v>23811</v>
      </c>
      <c r="J215" s="35"/>
      <c r="K215" s="35"/>
      <c r="L215" s="35"/>
      <c r="M215" s="35"/>
      <c r="N215" s="35" t="s">
        <v>83</v>
      </c>
    </row>
    <row r="216" spans="1:14" ht="12">
      <c r="A216" s="76" t="s">
        <v>225</v>
      </c>
      <c r="B216" s="76"/>
      <c r="C216" s="76"/>
      <c r="D216" s="76"/>
      <c r="E216" s="76"/>
      <c r="F216" s="76"/>
      <c r="G216" s="76"/>
      <c r="H216" s="76"/>
      <c r="I216" s="37"/>
      <c r="J216" s="35"/>
      <c r="K216" s="35"/>
      <c r="L216" s="35"/>
      <c r="M216" s="35"/>
      <c r="N216" s="35"/>
    </row>
    <row r="217" spans="1:14" ht="12">
      <c r="A217" s="76" t="s">
        <v>226</v>
      </c>
      <c r="B217" s="76"/>
      <c r="C217" s="76"/>
      <c r="D217" s="76"/>
      <c r="E217" s="76"/>
      <c r="F217" s="76"/>
      <c r="G217" s="76"/>
      <c r="H217" s="76"/>
      <c r="I217" s="37">
        <v>8795</v>
      </c>
      <c r="J217" s="35"/>
      <c r="K217" s="35"/>
      <c r="L217" s="35"/>
      <c r="M217" s="35"/>
      <c r="N217" s="35"/>
    </row>
    <row r="218" spans="1:14" ht="12">
      <c r="A218" s="76" t="s">
        <v>227</v>
      </c>
      <c r="B218" s="76"/>
      <c r="C218" s="76"/>
      <c r="D218" s="76"/>
      <c r="E218" s="76"/>
      <c r="F218" s="76"/>
      <c r="G218" s="76"/>
      <c r="H218" s="76"/>
      <c r="I218" s="37">
        <v>908</v>
      </c>
      <c r="J218" s="35"/>
      <c r="K218" s="35"/>
      <c r="L218" s="35"/>
      <c r="M218" s="35"/>
      <c r="N218" s="35"/>
    </row>
    <row r="219" spans="1:14" ht="12">
      <c r="A219" s="76" t="s">
        <v>228</v>
      </c>
      <c r="B219" s="76"/>
      <c r="C219" s="76"/>
      <c r="D219" s="76"/>
      <c r="E219" s="76"/>
      <c r="F219" s="76"/>
      <c r="G219" s="76"/>
      <c r="H219" s="76"/>
      <c r="I219" s="37">
        <v>6003</v>
      </c>
      <c r="J219" s="35"/>
      <c r="K219" s="35"/>
      <c r="L219" s="35"/>
      <c r="M219" s="35"/>
      <c r="N219" s="35"/>
    </row>
    <row r="220" spans="1:14" ht="12">
      <c r="A220" s="76" t="s">
        <v>229</v>
      </c>
      <c r="B220" s="76"/>
      <c r="C220" s="76"/>
      <c r="D220" s="76"/>
      <c r="E220" s="76"/>
      <c r="F220" s="76"/>
      <c r="G220" s="76"/>
      <c r="H220" s="76"/>
      <c r="I220" s="37">
        <v>5058</v>
      </c>
      <c r="J220" s="35"/>
      <c r="K220" s="35"/>
      <c r="L220" s="35"/>
      <c r="M220" s="35"/>
      <c r="N220" s="35"/>
    </row>
    <row r="221" spans="1:14" ht="12">
      <c r="A221" s="76" t="s">
        <v>230</v>
      </c>
      <c r="B221" s="76"/>
      <c r="C221" s="76"/>
      <c r="D221" s="76"/>
      <c r="E221" s="76"/>
      <c r="F221" s="76"/>
      <c r="G221" s="76"/>
      <c r="H221" s="76"/>
      <c r="I221" s="37">
        <v>3047</v>
      </c>
      <c r="J221" s="35"/>
      <c r="K221" s="35"/>
      <c r="L221" s="35"/>
      <c r="M221" s="35"/>
      <c r="N221" s="35"/>
    </row>
    <row r="222" spans="1:14" ht="24">
      <c r="A222" s="75" t="s">
        <v>85</v>
      </c>
      <c r="B222" s="75"/>
      <c r="C222" s="75"/>
      <c r="D222" s="75"/>
      <c r="E222" s="75"/>
      <c r="F222" s="75"/>
      <c r="G222" s="75"/>
      <c r="H222" s="75"/>
      <c r="I222" s="37">
        <v>23811</v>
      </c>
      <c r="J222" s="35"/>
      <c r="K222" s="35"/>
      <c r="L222" s="35"/>
      <c r="M222" s="35"/>
      <c r="N222" s="35" t="s">
        <v>83</v>
      </c>
    </row>
    <row r="223" spans="1:14" ht="36">
      <c r="A223" s="77" t="s">
        <v>86</v>
      </c>
      <c r="B223" s="76"/>
      <c r="C223" s="76"/>
      <c r="D223" s="76"/>
      <c r="E223" s="76"/>
      <c r="F223" s="76"/>
      <c r="G223" s="76"/>
      <c r="H223" s="76"/>
      <c r="I223" s="38">
        <v>338864</v>
      </c>
      <c r="J223" s="38">
        <v>30719</v>
      </c>
      <c r="K223" s="38" t="s">
        <v>87</v>
      </c>
      <c r="L223" s="38">
        <v>295878</v>
      </c>
      <c r="M223" s="38"/>
      <c r="N223" s="38" t="s">
        <v>88</v>
      </c>
    </row>
    <row r="224" spans="1:14" ht="36">
      <c r="A224" s="77" t="s">
        <v>89</v>
      </c>
      <c r="B224" s="76"/>
      <c r="C224" s="76"/>
      <c r="D224" s="76"/>
      <c r="E224" s="76"/>
      <c r="F224" s="76"/>
      <c r="G224" s="76"/>
      <c r="H224" s="76"/>
      <c r="I224" s="38">
        <v>2074292</v>
      </c>
      <c r="J224" s="38">
        <v>505215</v>
      </c>
      <c r="K224" s="38" t="s">
        <v>90</v>
      </c>
      <c r="L224" s="38">
        <v>1448203</v>
      </c>
      <c r="M224" s="38"/>
      <c r="N224" s="38" t="s">
        <v>88</v>
      </c>
    </row>
    <row r="225" spans="1:14" ht="12">
      <c r="A225" s="77" t="s">
        <v>211</v>
      </c>
      <c r="B225" s="76"/>
      <c r="C225" s="76"/>
      <c r="D225" s="76"/>
      <c r="E225" s="76"/>
      <c r="F225" s="76"/>
      <c r="G225" s="76"/>
      <c r="H225" s="76"/>
      <c r="I225" s="38">
        <v>446186</v>
      </c>
      <c r="J225" s="38"/>
      <c r="K225" s="38"/>
      <c r="L225" s="38"/>
      <c r="M225" s="38"/>
      <c r="N225" s="38"/>
    </row>
    <row r="226" spans="1:14" ht="12">
      <c r="A226" s="77" t="s">
        <v>212</v>
      </c>
      <c r="B226" s="76"/>
      <c r="C226" s="76"/>
      <c r="D226" s="76"/>
      <c r="E226" s="76"/>
      <c r="F226" s="76"/>
      <c r="G226" s="76"/>
      <c r="H226" s="76"/>
      <c r="I226" s="38">
        <v>243285</v>
      </c>
      <c r="J226" s="38"/>
      <c r="K226" s="38"/>
      <c r="L226" s="38"/>
      <c r="M226" s="38"/>
      <c r="N226" s="38"/>
    </row>
    <row r="227" spans="1:14" ht="12">
      <c r="A227" s="78" t="s">
        <v>91</v>
      </c>
      <c r="B227" s="75"/>
      <c r="C227" s="75"/>
      <c r="D227" s="75"/>
      <c r="E227" s="75"/>
      <c r="F227" s="75"/>
      <c r="G227" s="75"/>
      <c r="H227" s="75"/>
      <c r="I227" s="38"/>
      <c r="J227" s="38"/>
      <c r="K227" s="38"/>
      <c r="L227" s="38"/>
      <c r="M227" s="38"/>
      <c r="N227" s="38"/>
    </row>
    <row r="228" spans="1:14" ht="21.75" customHeight="1">
      <c r="A228" s="77" t="s">
        <v>214</v>
      </c>
      <c r="B228" s="76"/>
      <c r="C228" s="76"/>
      <c r="D228" s="76"/>
      <c r="E228" s="76"/>
      <c r="F228" s="76"/>
      <c r="G228" s="76"/>
      <c r="H228" s="76"/>
      <c r="I228" s="38">
        <v>36922</v>
      </c>
      <c r="J228" s="38"/>
      <c r="K228" s="38"/>
      <c r="L228" s="38"/>
      <c r="M228" s="38"/>
      <c r="N228" s="38" t="s">
        <v>215</v>
      </c>
    </row>
    <row r="229" spans="1:14" ht="12">
      <c r="A229" s="77" t="s">
        <v>216</v>
      </c>
      <c r="B229" s="76"/>
      <c r="C229" s="76"/>
      <c r="D229" s="76"/>
      <c r="E229" s="76"/>
      <c r="F229" s="76"/>
      <c r="G229" s="76"/>
      <c r="H229" s="76"/>
      <c r="I229" s="38">
        <v>75229</v>
      </c>
      <c r="J229" s="38"/>
      <c r="K229" s="38"/>
      <c r="L229" s="38"/>
      <c r="M229" s="38"/>
      <c r="N229" s="38">
        <v>265.6</v>
      </c>
    </row>
    <row r="230" spans="1:14" ht="36">
      <c r="A230" s="77" t="s">
        <v>217</v>
      </c>
      <c r="B230" s="76"/>
      <c r="C230" s="76"/>
      <c r="D230" s="76"/>
      <c r="E230" s="76"/>
      <c r="F230" s="76"/>
      <c r="G230" s="76"/>
      <c r="H230" s="76"/>
      <c r="I230" s="38">
        <v>760307</v>
      </c>
      <c r="J230" s="38"/>
      <c r="K230" s="38"/>
      <c r="L230" s="38"/>
      <c r="M230" s="38"/>
      <c r="N230" s="38" t="s">
        <v>92</v>
      </c>
    </row>
    <row r="231" spans="1:14" ht="24">
      <c r="A231" s="77" t="s">
        <v>219</v>
      </c>
      <c r="B231" s="76"/>
      <c r="C231" s="76"/>
      <c r="D231" s="76"/>
      <c r="E231" s="76"/>
      <c r="F231" s="76"/>
      <c r="G231" s="76"/>
      <c r="H231" s="76"/>
      <c r="I231" s="38">
        <v>495215</v>
      </c>
      <c r="J231" s="38"/>
      <c r="K231" s="38"/>
      <c r="L231" s="38"/>
      <c r="M231" s="38"/>
      <c r="N231" s="38" t="s">
        <v>93</v>
      </c>
    </row>
    <row r="232" spans="1:14" ht="24">
      <c r="A232" s="77" t="s">
        <v>220</v>
      </c>
      <c r="B232" s="76"/>
      <c r="C232" s="76"/>
      <c r="D232" s="76"/>
      <c r="E232" s="76"/>
      <c r="F232" s="76"/>
      <c r="G232" s="76"/>
      <c r="H232" s="76"/>
      <c r="I232" s="38">
        <v>96542</v>
      </c>
      <c r="J232" s="38"/>
      <c r="K232" s="38"/>
      <c r="L232" s="38"/>
      <c r="M232" s="38"/>
      <c r="N232" s="38" t="s">
        <v>221</v>
      </c>
    </row>
    <row r="233" spans="1:14" ht="12">
      <c r="A233" s="77" t="s">
        <v>222</v>
      </c>
      <c r="B233" s="76"/>
      <c r="C233" s="76"/>
      <c r="D233" s="76"/>
      <c r="E233" s="76"/>
      <c r="F233" s="76"/>
      <c r="G233" s="76"/>
      <c r="H233" s="76"/>
      <c r="I233" s="38">
        <v>4601</v>
      </c>
      <c r="J233" s="38"/>
      <c r="K233" s="38"/>
      <c r="L233" s="38"/>
      <c r="M233" s="38"/>
      <c r="N233" s="38"/>
    </row>
    <row r="234" spans="1:14" ht="12">
      <c r="A234" s="77" t="s">
        <v>223</v>
      </c>
      <c r="B234" s="76"/>
      <c r="C234" s="76"/>
      <c r="D234" s="76"/>
      <c r="E234" s="76"/>
      <c r="F234" s="76"/>
      <c r="G234" s="76"/>
      <c r="H234" s="76"/>
      <c r="I234" s="38">
        <v>654354</v>
      </c>
      <c r="J234" s="38"/>
      <c r="K234" s="38"/>
      <c r="L234" s="38"/>
      <c r="M234" s="38"/>
      <c r="N234" s="38"/>
    </row>
    <row r="235" spans="1:14" ht="24">
      <c r="A235" s="77" t="s">
        <v>497</v>
      </c>
      <c r="B235" s="76"/>
      <c r="C235" s="76"/>
      <c r="D235" s="76"/>
      <c r="E235" s="76"/>
      <c r="F235" s="76"/>
      <c r="G235" s="76"/>
      <c r="H235" s="76"/>
      <c r="I235" s="38">
        <v>79648</v>
      </c>
      <c r="J235" s="38"/>
      <c r="K235" s="38"/>
      <c r="L235" s="38"/>
      <c r="M235" s="38"/>
      <c r="N235" s="38" t="s">
        <v>94</v>
      </c>
    </row>
    <row r="236" spans="1:14" ht="24">
      <c r="A236" s="77" t="s">
        <v>498</v>
      </c>
      <c r="B236" s="76"/>
      <c r="C236" s="76"/>
      <c r="D236" s="76"/>
      <c r="E236" s="76"/>
      <c r="F236" s="76"/>
      <c r="G236" s="76"/>
      <c r="H236" s="76"/>
      <c r="I236" s="38">
        <v>54206</v>
      </c>
      <c r="J236" s="38"/>
      <c r="K236" s="38"/>
      <c r="L236" s="38"/>
      <c r="M236" s="38"/>
      <c r="N236" s="38" t="s">
        <v>499</v>
      </c>
    </row>
    <row r="237" spans="1:14" ht="24">
      <c r="A237" s="77" t="s">
        <v>501</v>
      </c>
      <c r="B237" s="76"/>
      <c r="C237" s="76"/>
      <c r="D237" s="76"/>
      <c r="E237" s="76"/>
      <c r="F237" s="76"/>
      <c r="G237" s="76"/>
      <c r="H237" s="76"/>
      <c r="I237" s="38">
        <v>297980</v>
      </c>
      <c r="J237" s="38"/>
      <c r="K237" s="38"/>
      <c r="L237" s="38"/>
      <c r="M237" s="38"/>
      <c r="N237" s="38" t="s">
        <v>95</v>
      </c>
    </row>
    <row r="238" spans="1:14" ht="24">
      <c r="A238" s="77" t="s">
        <v>503</v>
      </c>
      <c r="B238" s="76"/>
      <c r="C238" s="76"/>
      <c r="D238" s="76"/>
      <c r="E238" s="76"/>
      <c r="F238" s="76"/>
      <c r="G238" s="76"/>
      <c r="H238" s="76"/>
      <c r="I238" s="38">
        <v>4534</v>
      </c>
      <c r="J238" s="38"/>
      <c r="K238" s="38"/>
      <c r="L238" s="38"/>
      <c r="M238" s="38"/>
      <c r="N238" s="38" t="s">
        <v>504</v>
      </c>
    </row>
    <row r="239" spans="1:14" ht="21.75" customHeight="1">
      <c r="A239" s="77" t="s">
        <v>505</v>
      </c>
      <c r="B239" s="76"/>
      <c r="C239" s="76"/>
      <c r="D239" s="76"/>
      <c r="E239" s="76"/>
      <c r="F239" s="76"/>
      <c r="G239" s="76"/>
      <c r="H239" s="76"/>
      <c r="I239" s="38">
        <v>10876</v>
      </c>
      <c r="J239" s="38"/>
      <c r="K239" s="38"/>
      <c r="L239" s="38"/>
      <c r="M239" s="38"/>
      <c r="N239" s="38" t="s">
        <v>68</v>
      </c>
    </row>
    <row r="240" spans="1:14" ht="24">
      <c r="A240" s="77" t="s">
        <v>575</v>
      </c>
      <c r="B240" s="76"/>
      <c r="C240" s="76"/>
      <c r="D240" s="76"/>
      <c r="E240" s="76"/>
      <c r="F240" s="76"/>
      <c r="G240" s="76"/>
      <c r="H240" s="76"/>
      <c r="I240" s="38">
        <v>193349</v>
      </c>
      <c r="J240" s="38"/>
      <c r="K240" s="38"/>
      <c r="L240" s="38"/>
      <c r="M240" s="38"/>
      <c r="N240" s="38" t="s">
        <v>96</v>
      </c>
    </row>
    <row r="241" spans="1:14" ht="36">
      <c r="A241" s="77" t="s">
        <v>224</v>
      </c>
      <c r="B241" s="76"/>
      <c r="C241" s="76"/>
      <c r="D241" s="76"/>
      <c r="E241" s="76"/>
      <c r="F241" s="76"/>
      <c r="G241" s="76"/>
      <c r="H241" s="76"/>
      <c r="I241" s="38">
        <v>2763763</v>
      </c>
      <c r="J241" s="38"/>
      <c r="K241" s="38"/>
      <c r="L241" s="38"/>
      <c r="M241" s="38"/>
      <c r="N241" s="38" t="s">
        <v>88</v>
      </c>
    </row>
    <row r="242" spans="1:14" ht="12">
      <c r="A242" s="77" t="s">
        <v>225</v>
      </c>
      <c r="B242" s="76"/>
      <c r="C242" s="76"/>
      <c r="D242" s="76"/>
      <c r="E242" s="76"/>
      <c r="F242" s="76"/>
      <c r="G242" s="76"/>
      <c r="H242" s="76"/>
      <c r="I242" s="38"/>
      <c r="J242" s="38"/>
      <c r="K242" s="38"/>
      <c r="L242" s="38"/>
      <c r="M242" s="38"/>
      <c r="N242" s="38"/>
    </row>
    <row r="243" spans="1:14" ht="12">
      <c r="A243" s="77" t="s">
        <v>226</v>
      </c>
      <c r="B243" s="76"/>
      <c r="C243" s="76"/>
      <c r="D243" s="76"/>
      <c r="E243" s="76"/>
      <c r="F243" s="76"/>
      <c r="G243" s="76"/>
      <c r="H243" s="76"/>
      <c r="I243" s="38">
        <v>1448203</v>
      </c>
      <c r="J243" s="38"/>
      <c r="K243" s="38"/>
      <c r="L243" s="38"/>
      <c r="M243" s="38"/>
      <c r="N243" s="38"/>
    </row>
    <row r="244" spans="1:14" ht="12">
      <c r="A244" s="77" t="s">
        <v>227</v>
      </c>
      <c r="B244" s="76"/>
      <c r="C244" s="76"/>
      <c r="D244" s="76"/>
      <c r="E244" s="76"/>
      <c r="F244" s="76"/>
      <c r="G244" s="76"/>
      <c r="H244" s="76"/>
      <c r="I244" s="38">
        <v>120874</v>
      </c>
      <c r="J244" s="38"/>
      <c r="K244" s="38"/>
      <c r="L244" s="38"/>
      <c r="M244" s="38"/>
      <c r="N244" s="38"/>
    </row>
    <row r="245" spans="1:14" ht="12">
      <c r="A245" s="77" t="s">
        <v>228</v>
      </c>
      <c r="B245" s="76"/>
      <c r="C245" s="76"/>
      <c r="D245" s="76"/>
      <c r="E245" s="76"/>
      <c r="F245" s="76"/>
      <c r="G245" s="76"/>
      <c r="H245" s="76"/>
      <c r="I245" s="38">
        <v>515329</v>
      </c>
      <c r="J245" s="38"/>
      <c r="K245" s="38"/>
      <c r="L245" s="38"/>
      <c r="M245" s="38"/>
      <c r="N245" s="38"/>
    </row>
    <row r="246" spans="1:14" ht="12">
      <c r="A246" s="77" t="s">
        <v>229</v>
      </c>
      <c r="B246" s="76"/>
      <c r="C246" s="76"/>
      <c r="D246" s="76"/>
      <c r="E246" s="76"/>
      <c r="F246" s="76"/>
      <c r="G246" s="76"/>
      <c r="H246" s="76"/>
      <c r="I246" s="38">
        <v>446186</v>
      </c>
      <c r="J246" s="38"/>
      <c r="K246" s="38"/>
      <c r="L246" s="38"/>
      <c r="M246" s="38"/>
      <c r="N246" s="38"/>
    </row>
    <row r="247" spans="1:14" ht="12">
      <c r="A247" s="77" t="s">
        <v>230</v>
      </c>
      <c r="B247" s="76"/>
      <c r="C247" s="76"/>
      <c r="D247" s="76"/>
      <c r="E247" s="76"/>
      <c r="F247" s="76"/>
      <c r="G247" s="76"/>
      <c r="H247" s="76"/>
      <c r="I247" s="38">
        <v>243285</v>
      </c>
      <c r="J247" s="38"/>
      <c r="K247" s="38"/>
      <c r="L247" s="38"/>
      <c r="M247" s="38"/>
      <c r="N247" s="38"/>
    </row>
    <row r="248" spans="1:14" ht="36" customHeight="1">
      <c r="A248" s="78" t="s">
        <v>592</v>
      </c>
      <c r="B248" s="75"/>
      <c r="C248" s="75"/>
      <c r="D248" s="75"/>
      <c r="E248" s="75"/>
      <c r="F248" s="75"/>
      <c r="G248" s="75"/>
      <c r="H248" s="75"/>
      <c r="I248" s="38">
        <v>2763763</v>
      </c>
      <c r="J248" s="38"/>
      <c r="K248" s="38"/>
      <c r="L248" s="38"/>
      <c r="M248" s="38"/>
      <c r="N248" s="38" t="s">
        <v>88</v>
      </c>
    </row>
    <row r="249" spans="1:14" ht="12">
      <c r="A249" s="44"/>
      <c r="B249" s="79" t="s">
        <v>593</v>
      </c>
      <c r="C249" s="79"/>
      <c r="D249" s="45"/>
      <c r="E249" s="45"/>
      <c r="F249" s="45"/>
      <c r="G249" s="45"/>
      <c r="H249" s="46"/>
      <c r="I249" s="47">
        <v>55275</v>
      </c>
      <c r="J249" s="50"/>
      <c r="K249" s="48"/>
      <c r="L249" s="50"/>
      <c r="M249" s="48"/>
      <c r="N249" s="50"/>
    </row>
    <row r="250" spans="1:14" ht="12">
      <c r="A250" s="80" t="s">
        <v>224</v>
      </c>
      <c r="B250" s="81"/>
      <c r="C250" s="45"/>
      <c r="D250" s="45"/>
      <c r="E250" s="45"/>
      <c r="F250" s="45"/>
      <c r="G250" s="45"/>
      <c r="H250" s="46"/>
      <c r="I250" s="52">
        <v>2819038</v>
      </c>
      <c r="J250" s="38"/>
      <c r="K250" s="53"/>
      <c r="L250" s="38"/>
      <c r="M250" s="53"/>
      <c r="N250" s="38"/>
    </row>
    <row r="251" spans="1:14" ht="12">
      <c r="A251" s="80" t="s">
        <v>596</v>
      </c>
      <c r="B251" s="81"/>
      <c r="C251" s="81"/>
      <c r="D251" s="45"/>
      <c r="E251" s="45"/>
      <c r="F251" s="45"/>
      <c r="G251" s="45"/>
      <c r="H251" s="46"/>
      <c r="I251" s="55">
        <v>2783055.1</v>
      </c>
      <c r="J251" s="38"/>
      <c r="K251" s="53"/>
      <c r="L251" s="38"/>
      <c r="M251" s="53"/>
      <c r="N251" s="38"/>
    </row>
    <row r="252" spans="1:14" ht="12">
      <c r="A252" s="44"/>
      <c r="B252" s="54" t="s">
        <v>594</v>
      </c>
      <c r="C252" s="45"/>
      <c r="D252" s="45"/>
      <c r="E252" s="45"/>
      <c r="F252" s="45"/>
      <c r="G252" s="45"/>
      <c r="H252" s="46"/>
      <c r="I252" s="49">
        <v>500949.92</v>
      </c>
      <c r="J252" s="51"/>
      <c r="K252" s="43"/>
      <c r="L252" s="51"/>
      <c r="M252" s="43"/>
      <c r="N252" s="51"/>
    </row>
    <row r="253" spans="1:14" ht="12">
      <c r="A253" s="82" t="s">
        <v>595</v>
      </c>
      <c r="B253" s="83"/>
      <c r="C253" s="45"/>
      <c r="D253" s="45"/>
      <c r="E253" s="45"/>
      <c r="F253" s="45"/>
      <c r="G253" s="45"/>
      <c r="H253" s="46"/>
      <c r="I253" s="55">
        <v>3284005.02</v>
      </c>
      <c r="J253" s="38"/>
      <c r="K253" s="53"/>
      <c r="L253" s="38"/>
      <c r="M253" s="53"/>
      <c r="N253" s="38"/>
    </row>
    <row r="254" spans="1:13" ht="12">
      <c r="A254" s="39"/>
      <c r="B254" s="40"/>
      <c r="C254" s="40"/>
      <c r="D254" s="39"/>
      <c r="E254" s="28"/>
      <c r="F254" s="28"/>
      <c r="G254" s="28"/>
      <c r="H254" s="28"/>
      <c r="I254" s="41"/>
      <c r="J254" s="28"/>
      <c r="K254" s="28"/>
      <c r="L254" s="28"/>
      <c r="M254" s="28"/>
    </row>
    <row r="255" spans="1:13" ht="12">
      <c r="A255" s="39"/>
      <c r="B255" s="40"/>
      <c r="C255" s="40"/>
      <c r="D255" s="39"/>
      <c r="E255" s="28"/>
      <c r="F255" s="28"/>
      <c r="G255" s="28"/>
      <c r="H255" s="28"/>
      <c r="I255" s="41"/>
      <c r="J255" s="28"/>
      <c r="K255" s="28"/>
      <c r="L255" s="28"/>
      <c r="M255" s="28"/>
    </row>
    <row r="256" spans="1:13" ht="12">
      <c r="A256" s="39"/>
      <c r="B256" s="40"/>
      <c r="C256" s="42" t="s">
        <v>591</v>
      </c>
      <c r="D256" s="39"/>
      <c r="E256" s="28"/>
      <c r="F256" s="42" t="s">
        <v>127</v>
      </c>
      <c r="G256" s="42"/>
      <c r="H256" s="42"/>
      <c r="I256" s="28"/>
      <c r="J256" s="28"/>
      <c r="K256" s="28"/>
      <c r="L256" s="28"/>
      <c r="M256" s="28"/>
    </row>
  </sheetData>
  <sheetProtection/>
  <mergeCells count="145">
    <mergeCell ref="B249:C249"/>
    <mergeCell ref="A250:B250"/>
    <mergeCell ref="A253:B253"/>
    <mergeCell ref="A245:H245"/>
    <mergeCell ref="A246:H246"/>
    <mergeCell ref="A247:H247"/>
    <mergeCell ref="A248:H248"/>
    <mergeCell ref="A251:C251"/>
    <mergeCell ref="A241:H241"/>
    <mergeCell ref="A242:H242"/>
    <mergeCell ref="A243:H243"/>
    <mergeCell ref="A244:H244"/>
    <mergeCell ref="A237:H237"/>
    <mergeCell ref="A238:H238"/>
    <mergeCell ref="A239:H239"/>
    <mergeCell ref="A240:H240"/>
    <mergeCell ref="A233:H233"/>
    <mergeCell ref="A234:H234"/>
    <mergeCell ref="A235:H235"/>
    <mergeCell ref="A236:H236"/>
    <mergeCell ref="A229:H229"/>
    <mergeCell ref="A230:H230"/>
    <mergeCell ref="A231:H231"/>
    <mergeCell ref="A232:H232"/>
    <mergeCell ref="A225:H225"/>
    <mergeCell ref="A226:H226"/>
    <mergeCell ref="A227:H227"/>
    <mergeCell ref="A228:H228"/>
    <mergeCell ref="A221:H221"/>
    <mergeCell ref="A222:H222"/>
    <mergeCell ref="A223:H223"/>
    <mergeCell ref="A224:H224"/>
    <mergeCell ref="A217:H217"/>
    <mergeCell ref="A218:H218"/>
    <mergeCell ref="A219:H219"/>
    <mergeCell ref="A220:H220"/>
    <mergeCell ref="A213:H213"/>
    <mergeCell ref="A214:H214"/>
    <mergeCell ref="A215:H215"/>
    <mergeCell ref="A216:H216"/>
    <mergeCell ref="A209:H209"/>
    <mergeCell ref="A210:H210"/>
    <mergeCell ref="A211:H211"/>
    <mergeCell ref="A212:H212"/>
    <mergeCell ref="A196:H196"/>
    <mergeCell ref="A197:N197"/>
    <mergeCell ref="A207:H207"/>
    <mergeCell ref="A208:H208"/>
    <mergeCell ref="A192:H192"/>
    <mergeCell ref="A193:H193"/>
    <mergeCell ref="A194:H194"/>
    <mergeCell ref="A195:H195"/>
    <mergeCell ref="A188:H188"/>
    <mergeCell ref="A189:H189"/>
    <mergeCell ref="A190:H190"/>
    <mergeCell ref="A191:H191"/>
    <mergeCell ref="A184:H184"/>
    <mergeCell ref="A185:H185"/>
    <mergeCell ref="A186:H186"/>
    <mergeCell ref="A187:H187"/>
    <mergeCell ref="A180:H180"/>
    <mergeCell ref="A181:H181"/>
    <mergeCell ref="A182:H182"/>
    <mergeCell ref="A183:H183"/>
    <mergeCell ref="A159:H159"/>
    <mergeCell ref="A160:H160"/>
    <mergeCell ref="A161:N161"/>
    <mergeCell ref="A179:H179"/>
    <mergeCell ref="A155:H155"/>
    <mergeCell ref="A156:H156"/>
    <mergeCell ref="A157:H157"/>
    <mergeCell ref="A158:H158"/>
    <mergeCell ref="A151:H151"/>
    <mergeCell ref="A152:H152"/>
    <mergeCell ref="A153:H153"/>
    <mergeCell ref="A154:H154"/>
    <mergeCell ref="A147:H147"/>
    <mergeCell ref="A148:H148"/>
    <mergeCell ref="A149:H149"/>
    <mergeCell ref="A150:H150"/>
    <mergeCell ref="A143:H143"/>
    <mergeCell ref="A144:H144"/>
    <mergeCell ref="A145:H145"/>
    <mergeCell ref="A146:H146"/>
    <mergeCell ref="A125:H125"/>
    <mergeCell ref="A126:H126"/>
    <mergeCell ref="A127:H127"/>
    <mergeCell ref="A128:N128"/>
    <mergeCell ref="A121:H121"/>
    <mergeCell ref="A122:H122"/>
    <mergeCell ref="A123:H123"/>
    <mergeCell ref="A124:H124"/>
    <mergeCell ref="A117:H117"/>
    <mergeCell ref="A118:H118"/>
    <mergeCell ref="A119:H119"/>
    <mergeCell ref="A120:H120"/>
    <mergeCell ref="A113:H113"/>
    <mergeCell ref="A114:H114"/>
    <mergeCell ref="A115:H115"/>
    <mergeCell ref="A116:H116"/>
    <mergeCell ref="A109:H109"/>
    <mergeCell ref="A110:H110"/>
    <mergeCell ref="A111:H111"/>
    <mergeCell ref="A112:H112"/>
    <mergeCell ref="A52:H52"/>
    <mergeCell ref="A53:N53"/>
    <mergeCell ref="A107:H107"/>
    <mergeCell ref="A108:H108"/>
    <mergeCell ref="A48:H48"/>
    <mergeCell ref="A49:H49"/>
    <mergeCell ref="A50:H50"/>
    <mergeCell ref="A51:H51"/>
    <mergeCell ref="A44:H44"/>
    <mergeCell ref="A45:H45"/>
    <mergeCell ref="A46:H46"/>
    <mergeCell ref="A47:H47"/>
    <mergeCell ref="C15:C18"/>
    <mergeCell ref="A40:H40"/>
    <mergeCell ref="A41:H41"/>
    <mergeCell ref="A42:H42"/>
    <mergeCell ref="A43:H43"/>
    <mergeCell ref="A36:H36"/>
    <mergeCell ref="A38:H38"/>
    <mergeCell ref="A39:H39"/>
    <mergeCell ref="H15:H18"/>
    <mergeCell ref="A20:N20"/>
    <mergeCell ref="A33:H33"/>
    <mergeCell ref="A34:H34"/>
    <mergeCell ref="A35:H35"/>
    <mergeCell ref="J17:J18"/>
    <mergeCell ref="L17:L18"/>
    <mergeCell ref="A10:N10"/>
    <mergeCell ref="C11:E11"/>
    <mergeCell ref="D12:E12"/>
    <mergeCell ref="G17:G18"/>
    <mergeCell ref="M15:N16"/>
    <mergeCell ref="A37:H37"/>
    <mergeCell ref="E15:G16"/>
    <mergeCell ref="I15:L16"/>
    <mergeCell ref="M17:M18"/>
    <mergeCell ref="N17:N18"/>
    <mergeCell ref="A15:A18"/>
    <mergeCell ref="D15:D18"/>
    <mergeCell ref="I17:I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Власкина Юлия Викторовна</cp:lastModifiedBy>
  <cp:lastPrinted>2015-08-04T04:45:13Z</cp:lastPrinted>
  <dcterms:created xsi:type="dcterms:W3CDTF">2003-01-28T12:33:10Z</dcterms:created>
  <dcterms:modified xsi:type="dcterms:W3CDTF">2015-08-19T08:17:23Z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