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20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20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91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91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91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91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91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91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<sst xmlns="http://schemas.openxmlformats.org/spreadsheetml/2006/main" count="879" uniqueCount="719">
  <si>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</si>
  <si>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4,2
3,51</t>
  </si>
  <si>
    <t xml:space="preserve">9.74 Резка стального профилированного настила: ОЗП=16,45; ЭМ=2,22; ЗПМ=16,45
 </t>
  </si>
  <si>
    <t>ФЕР12-01-010-01
--------------------
Приказ Минстроя РФ от 30.01.14 №31/пр</t>
  </si>
  <si>
    <t xml:space="preserve">Устройство капельника,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</si>
  <si>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</si>
  <si>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</si>
  <si>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ОЗП=16,45; ЭМ=11,87; ЗПМ=16,45; МАТ=3,66
 </t>
  </si>
  <si>
    <t>142
16</t>
  </si>
  <si>
    <t>129,66
0,25</t>
  </si>
  <si>
    <t>53,86
0,1</t>
  </si>
  <si>
    <t>ФССЦ-101-1875
--------------------
Приказ Минстроя России от 12.11.14 №703/пр</t>
  </si>
  <si>
    <t xml:space="preserve">Сталь листовая оцинкованная толщиной листа: 0,7 мм, т
 </t>
  </si>
  <si>
    <t xml:space="preserve">Сталь листовая оцинкованная толщиной листа:0,7 мм; МАТ=3,663
 </t>
  </si>
  <si>
    <t>ФССЦ-101-1706
--------------------
Приказ Минстроя России от 12.11.14 №703/пр</t>
  </si>
  <si>
    <t xml:space="preserve">Сталь листовая оцинкованная толщиной листа: 0,5 мм, т
 </t>
  </si>
  <si>
    <t>0,381569
(41,54+23,04+7,92+8,19+7,3)*4,13*1,05/1000</t>
  </si>
  <si>
    <t xml:space="preserve">Сталь оцинкованная листовая толщиной листа 0,5 мм; МАТ=3,707
 </t>
  </si>
  <si>
    <t>ФЕР12-01-010-01,прим.
--------------------
Приказ Минстроя РФ от 30.01.14 №31/пр</t>
  </si>
  <si>
    <t xml:space="preserve">Обивка  слуховых окон,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</si>
  <si>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59
16</t>
  </si>
  <si>
    <t>22,43
0,04</t>
  </si>
  <si>
    <t>0,075021
17,3*4,13*1,05/1000</t>
  </si>
  <si>
    <t>ФЕР09-06-001-02
--------------------
Приказ Минстроя РФ от 30.01.14 №31/пр</t>
  </si>
  <si>
    <t xml:space="preserve">Монтаж переходного мостика,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</si>
  <si>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746,35
498,23</t>
  </si>
  <si>
    <t>166,15
2,03</t>
  </si>
  <si>
    <t xml:space="preserve">9.75 Монтаж дверей, люков, подвесных путей из полосовой стали и труб; лотков решеток, стеллажей из стали различного профиля: ОЗП=16,45; ЭМ=8,39; ЗПМ=16,45; МАТ=5,35
 </t>
  </si>
  <si>
    <t>58,41
0,15</t>
  </si>
  <si>
    <t>ФССЦ-201-0599
--------------------
Приказ Минстроя России от 12.11.14 №703/пр</t>
  </si>
  <si>
    <t xml:space="preserve">Площадки просадочные, мостики, кронштейны, маршевые лестницы, пожарные щиты переходных площадок, ограждений, т
 </t>
  </si>
  <si>
    <t xml:space="preserve">Площадки просадочные, мостики, кронштейны, маршевые лестницы, пожарные щиты переходных площадок, ограждений; МАТ=5,746
 </t>
  </si>
  <si>
    <t>ФЕР12-01-012-01
--------------------
Приказ Минстроя РФ от 30.01.14 №31/пр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</si>
  <si>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</si>
  <si>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3170,11
67,97</t>
  </si>
  <si>
    <t>69,23
4,9</t>
  </si>
  <si>
    <t xml:space="preserve">12.29. Ограждение кровель перилами: ОЗП=16,45; ЭМ=9,92; ЗПМ=16,45; МАТ=7,67
 </t>
  </si>
  <si>
    <t>228
33</t>
  </si>
  <si>
    <t>7,67
0,36</t>
  </si>
  <si>
    <t>2,58
0,12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</si>
  <si>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</si>
  <si>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</si>
  <si>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
 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</si>
  <si>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</si>
  <si>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</si>
  <si>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МАТ=6,918
 </t>
  </si>
  <si>
    <t>476
49</t>
  </si>
  <si>
    <t>5,37
0,25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</si>
  <si>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</si>
  <si>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</si>
  <si>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</si>
  <si>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</si>
  <si>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ОЗП=16,45; ЭМ=10,28; ЗПМ=16,45; МАТ=5,25
 </t>
  </si>
  <si>
    <t>247
49</t>
  </si>
  <si>
    <t>37,23
7,05</t>
  </si>
  <si>
    <t>1,03
0,2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</si>
  <si>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</si>
  <si>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ТЗМ=2))
НР 73%=95%*(0.85*0,9) от ФОТ
СП 48%=70%*(0.8*0,85) от ФОТ
 </t>
  </si>
  <si>
    <t>644,48
69,48</t>
  </si>
  <si>
    <t>12,44
0,2</t>
  </si>
  <si>
    <t xml:space="preserve">13.100 Окраска металлических огрунтованных поверхностей: эмалью ПФ-115: ОЗП=16,45; ЭМ=10,62; ЗПМ=16,45; МАТ=4,94
 </t>
  </si>
  <si>
    <t>7,66
0,02</t>
  </si>
  <si>
    <t xml:space="preserve">Устройство лестниц к слуховым  окнам,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</si>
  <si>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3608
142</t>
  </si>
  <si>
    <t>968,98
10,92</t>
  </si>
  <si>
    <t>39826
2336</t>
  </si>
  <si>
    <t>Итоги по разделу 2 Устройство кровли :</t>
  </si>
  <si>
    <t>314,63
1,24</t>
  </si>
  <si>
    <t>123,03
1,69</t>
  </si>
  <si>
    <t xml:space="preserve">  Материалы для строительных работ</t>
  </si>
  <si>
    <t xml:space="preserve">  Теплоизоляционные работы</t>
  </si>
  <si>
    <t xml:space="preserve">  Отделочные работы</t>
  </si>
  <si>
    <t xml:space="preserve">  Кровли</t>
  </si>
  <si>
    <t>287,05
5,04</t>
  </si>
  <si>
    <t xml:space="preserve">  Строительные металлические конструкции</t>
  </si>
  <si>
    <t>2,52
0,2</t>
  </si>
  <si>
    <t xml:space="preserve">  Защита строительных конструкций и оборудования от коррозии</t>
  </si>
  <si>
    <t xml:space="preserve">  Итого по разделу 2 Устройство кровли</t>
  </si>
  <si>
    <t xml:space="preserve">                           Раздел 3. Фановые трубы</t>
  </si>
  <si>
    <t>ФЕР16-04-001-02
--------------------
Приказ Минстроя РФ от 30.01.14 №31/пр</t>
  </si>
  <si>
    <t xml:space="preserve">Прокладка трубопроводов и отводов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1025%=134%*(0.85*09) от ФОТ
СП 56%=83%*(0.8*0,85) от ФОТ
 </t>
  </si>
  <si>
    <t>0,288
0,264+(0,15*16)/100</t>
  </si>
  <si>
    <t>7877,8
702,73</t>
  </si>
  <si>
    <t>8,23
0,85</t>
  </si>
  <si>
    <t xml:space="preserve">16.103 Прокладка трубопроводов канализации из полиэтиленовых труб высокой плотности диаметром: 100 мм: ОЗП=16,45; ЭМ=11,41; ЗПМ=16,45; МАТ=3,14
 </t>
  </si>
  <si>
    <t>70,84
0,06</t>
  </si>
  <si>
    <t>20,4
0,02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</si>
  <si>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</si>
  <si>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</si>
  <si>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1603,98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</si>
  <si>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</si>
  <si>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</si>
  <si>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</si>
  <si>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МАТ=3,423
 </t>
  </si>
  <si>
    <t>ФССЦ-104-0530
--------------------
Приказ Минстроя России от 12.11.14 №703/пр</t>
  </si>
  <si>
    <t xml:space="preserve">Маты теплоизоляционные из стекловолокна URSA, марки: М-15-9000-1200-100  1220/1,18*1,02/520,94=2,02, м3
 </t>
  </si>
  <si>
    <t>2,163
2,1*1,03</t>
  </si>
  <si>
    <t xml:space="preserve">1220/1,18*1,02/520,94=2,02; МАТ=2,02
 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</si>
  <si>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</si>
  <si>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</si>
  <si>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1785,64
317,76</t>
  </si>
  <si>
    <t xml:space="preserve">26.71 Обертывание поверхности изоляции рулонными материалами насухо с проклейкой швов: ОЗП=16,45; ЭМ=10,4; ЗПМ=16,45; МАТ=9,73
 </t>
  </si>
  <si>
    <t>ФССЦ-101-1794
--------------------
Пр. Минрегион от 28.07.09 № 308</t>
  </si>
  <si>
    <t xml:space="preserve">Бризол, 1000 м2
 </t>
  </si>
  <si>
    <t xml:space="preserve">Бризол; МАТ=11,969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</si>
  <si>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</si>
  <si>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</si>
  <si>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ТССЦ-104-9221-90002 13.61/2,75=4,95; МАТ=4,95
 </t>
  </si>
  <si>
    <t>ФССЦ-104-0077
--------------------
Приказ Минстроя России от 12.11.14 №703/пр</t>
  </si>
  <si>
    <t xml:space="preserve">Стеклопластик рулонный марки: РСТ-А-Л-В, 1000 м2
 </t>
  </si>
  <si>
    <t xml:space="preserve">Стеклопластик рулонный марки:РСТ-А-Л-В; МАТ=1,537
 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</si>
  <si>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</si>
  <si>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</si>
  <si>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15600,6
1666,99</t>
  </si>
  <si>
    <t xml:space="preserve">26.63 Покрытие поверхности изоляции трубопроводов: сталью оцинкованной: ОЗП=16,45; ЭМ=7,81; ЗПМ=16,45; МАТ=4,07
 </t>
  </si>
  <si>
    <t>97,4
0,02</t>
  </si>
  <si>
    <t>Итоги по разделу 3 Фановые трубы 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</si>
  <si>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</si>
  <si>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Итого по разделу 3 Фановые трубы</t>
  </si>
  <si>
    <t xml:space="preserve">                           Раздел 4. Утепление чердачного перекрытия</t>
  </si>
  <si>
    <t xml:space="preserve">Устройство покрытия из рулонных материалов: насухо без промазки кромок, 100 м2 кровли
НР 74%=87%*0,85 от ФОТ
СП 52%=65%*0,8 от ФОТ
 </t>
  </si>
  <si>
    <t>6,803
3,4015*2</t>
  </si>
  <si>
    <t>39,11725
340,15*1,15/10</t>
  </si>
  <si>
    <t>ФССЦ-101-7194
--------------------
Приказ Минстроя России от 12.11.14 №703/пр</t>
  </si>
  <si>
    <t xml:space="preserve">ИЗОСПАН: А, 10 м2
 </t>
  </si>
  <si>
    <t xml:space="preserve">ТССЦ-104-9221-90001   19.43/3,92=4,96; МАТ=4,96
 </t>
  </si>
  <si>
    <t>ФЕР12-01-013-03, прим.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</si>
  <si>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 (насухо),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</si>
  <si>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663,36
498,05</t>
  </si>
  <si>
    <t>165,31
9,29</t>
  </si>
  <si>
    <t xml:space="preserve">12.31. Утепление покрытий плитами: из минеральной ваты или перлита на битумной мастике: ОЗП=16,45; ЭМ=9,01; ЗПМ=16,45; МАТ=6,8
 </t>
  </si>
  <si>
    <t>5064
526</t>
  </si>
  <si>
    <t>52,37
0,69</t>
  </si>
  <si>
    <t>178,14
2,35</t>
  </si>
  <si>
    <t>ФЕР12-01-013-04, прим.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</si>
  <si>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 (насухо), 100 м2 утепляемого покрытия
(ПЗ=2 (ОЗП=2; ЭМ=2 к расх.; ЗПМ=2; МАТ=0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</si>
  <si>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1087,62
771,24</t>
  </si>
  <si>
    <t>316,38
18,58</t>
  </si>
  <si>
    <t>9695
1036</t>
  </si>
  <si>
    <t>81,1
1,38</t>
  </si>
  <si>
    <t>275,86
4,69</t>
  </si>
  <si>
    <t>ТССЦ-2/2015 ТССЦ-104-9100-91004</t>
  </si>
  <si>
    <t xml:space="preserve">Плиты теплоизоляционные энергетические гидрофобизированные базальтовые: ПТЭ-125 , размером 2000х1000х50 мм 3868,28/5,58, м3
 </t>
  </si>
  <si>
    <t>96,0784
93,28*1,03</t>
  </si>
  <si>
    <t xml:space="preserve">; МАТ=5,58
 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</si>
  <si>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</si>
  <si>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</si>
  <si>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1059,33
36,62</t>
  </si>
  <si>
    <t>15,56
1,35</t>
  </si>
  <si>
    <t xml:space="preserve">10.54. Укладка ходовых досок: ОЗП=16,45; ЭМ=10,88; ЗПМ=16,45; МАТ=5,34
 </t>
  </si>
  <si>
    <t>131
16</t>
  </si>
  <si>
    <t>4,37
0,1</t>
  </si>
  <si>
    <t>3,46
0,08</t>
  </si>
  <si>
    <t>7209
148</t>
  </si>
  <si>
    <t>66,84
0,81</t>
  </si>
  <si>
    <t>135,03
450,1*0,3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</si>
  <si>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</si>
  <si>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52500,52
1183,73</t>
  </si>
  <si>
    <t>1256,5
163,53</t>
  </si>
  <si>
    <t>166
33</t>
  </si>
  <si>
    <t>139,92
12,11</t>
  </si>
  <si>
    <t>1,57
0,14</t>
  </si>
  <si>
    <t>ФССЦ-203-0238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</si>
  <si>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</si>
  <si>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МАТ=8,263
 </t>
  </si>
  <si>
    <t>ФССЦ-203-0236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</si>
  <si>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</si>
  <si>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МАТ=7,063
 </t>
  </si>
  <si>
    <t>2346
107</t>
  </si>
  <si>
    <t>556,62
8,07</t>
  </si>
  <si>
    <t>22676
1759</t>
  </si>
  <si>
    <t>Итоги по разделу 4 Утепление чердачного перекрытия :</t>
  </si>
  <si>
    <t>454
7,04</t>
  </si>
  <si>
    <t>5,03
0,22</t>
  </si>
  <si>
    <t xml:space="preserve">  Итого по разделу 4 Утепление чердачного перекрытия</t>
  </si>
  <si>
    <t xml:space="preserve">                           Раздел 5.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</si>
  <si>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</si>
  <si>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</si>
  <si>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ЭМ=11,42
 </t>
  </si>
  <si>
    <t>ФССЦпг03-02-02-200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</si>
  <si>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</si>
  <si>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 класс груза; ЭМ=11,42
 </t>
  </si>
  <si>
    <t>ФССЦпг03-02-03-200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</si>
  <si>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</si>
  <si>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III класс груза; ЭМ=11,42
 </t>
  </si>
  <si>
    <t>ФССЦпг03-02-04-200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</si>
  <si>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</si>
  <si>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IV класс груза; ЭМ=11,42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</si>
  <si>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</si>
  <si>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(320км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</si>
  <si>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ЭМ=11,42
 </t>
  </si>
  <si>
    <t>ФССЦпг03-02-02-201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</si>
  <si>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 класс груза, 1 т груза
(320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</si>
  <si>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 класс груза; ЭМ=11,42
 </t>
  </si>
  <si>
    <t>ФССЦпг03-02-03-201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</si>
  <si>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III класс груза, 1 т груза
(320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</si>
  <si>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III класс груза; ЭМ=11,42
 </t>
  </si>
  <si>
    <t>ФССЦпг03-02-04-201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</si>
  <si>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IV класс груза, 1 т груза
(320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</si>
  <si>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IV класс груза; ЭМ=11,42
 </t>
  </si>
  <si>
    <t>Итоги по разделу 5 Перевозки :</t>
  </si>
  <si>
    <t xml:space="preserve">  Итого по разделу 5 Перевозки</t>
  </si>
  <si>
    <t>Итого прямые затраты по смете в ценах 2001г.</t>
  </si>
  <si>
    <t>13918
282</t>
  </si>
  <si>
    <t>1941,78
21,48</t>
  </si>
  <si>
    <t>Итого прямые затраты по смете с учетом индексов, в текущих ценах</t>
  </si>
  <si>
    <t>151444
4638</t>
  </si>
  <si>
    <t>Итоги по смете:</t>
  </si>
  <si>
    <t>223,02
3,79</t>
  </si>
  <si>
    <t>364,5
1,71</t>
  </si>
  <si>
    <t>370,93
3,56</t>
  </si>
  <si>
    <t>741,05
12,08</t>
  </si>
  <si>
    <t xml:space="preserve">  ВСЕГО по смете</t>
  </si>
  <si>
    <t>ЛОКАЛЬНЫЙ СМЕТНЫЙ РАСЧЕТ №  02-01-01</t>
  </si>
  <si>
    <t>Капитальный ремонт многоквартирного дома, расположенного по адресу: Томская область, Колпашевский район, г.Колпашево, ул.Советский Север, 23. Капитальный ремонт крыши</t>
  </si>
  <si>
    <t>Составлен(а) в текущих ценах по состоянию на 2кв.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</si>
  <si>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</si>
  <si>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</si>
  <si>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на   Капитальный ремонт крыши</t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</si>
  <si>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</si>
  <si>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</si>
  <si>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</si>
  <si>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</si>
  <si>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</si>
  <si>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</si>
  <si>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</si>
  <si>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</si>
  <si>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</si>
  <si>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</si>
  <si>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</si>
  <si>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</si>
  <si>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</si>
  <si>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</si>
  <si>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</si>
  <si>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</si>
  <si>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</si>
  <si>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</si>
  <si>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</si>
  <si>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</si>
  <si>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</si>
  <si>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</si>
  <si>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</si>
  <si>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</si>
  <si>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</si>
  <si>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</si>
  <si>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</si>
  <si>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</si>
  <si>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</si>
  <si>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</si>
  <si>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</si>
  <si>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</si>
  <si>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</si>
  <si>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</si>
  <si>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</si>
  <si>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</si>
  <si>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</si>
  <si>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</si>
  <si>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</si>
  <si>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</si>
  <si>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</si>
  <si>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</si>
  <si>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</si>
  <si>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</si>
  <si>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</si>
  <si>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</si>
  <si>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</si>
  <si>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</si>
  <si>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</si>
  <si>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</si>
  <si>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</si>
  <si>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</si>
  <si>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</si>
  <si>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</si>
  <si>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</si>
  <si>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</si>
  <si>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</si>
  <si>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</si>
  <si>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</si>
  <si>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</si>
  <si>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</si>
  <si>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</si>
  <si>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</si>
  <si>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</si>
  <si>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</si>
  <si>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</si>
  <si>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</si>
  <si>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</si>
  <si>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</si>
  <si>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</si>
  <si>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</si>
  <si>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</si>
  <si>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</si>
  <si>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</si>
  <si>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</si>
  <si>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</si>
  <si>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</si>
  <si>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</si>
  <si>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</si>
  <si>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</si>
  <si>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</si>
  <si>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</si>
  <si>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</si>
  <si>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</si>
  <si>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</si>
  <si>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</si>
  <si>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</si>
  <si>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</si>
  <si>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</si>
  <si>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</si>
  <si>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</si>
  <si>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</si>
  <si>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</si>
  <si>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</si>
  <si>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</si>
  <si>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</si>
  <si>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</si>
  <si>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</si>
  <si>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</si>
  <si>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</si>
  <si>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</si>
  <si>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</si>
  <si>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</si>
  <si>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</si>
  <si>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</si>
  <si>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</si>
  <si>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</si>
  <si>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</si>
  <si>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</si>
  <si>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</si>
  <si>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</si>
  <si>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</si>
  <si>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</si>
  <si>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</si>
  <si>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</si>
  <si>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</si>
  <si>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</si>
  <si>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</si>
  <si>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</si>
  <si>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</si>
  <si>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</si>
  <si>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</si>
  <si>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</si>
  <si>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</si>
  <si>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</si>
  <si>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</si>
  <si>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</si>
  <si>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</si>
  <si>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</si>
  <si>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</si>
  <si>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</si>
  <si>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</si>
  <si>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</si>
  <si>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</si>
  <si>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</si>
  <si>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</si>
  <si>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</si>
  <si>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</si>
  <si>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</si>
  <si>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</si>
  <si>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</si>
  <si>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</si>
  <si>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</si>
  <si>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</si>
  <si>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</si>
  <si>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</si>
  <si>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</si>
  <si>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</si>
  <si>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</si>
  <si>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</si>
  <si>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</si>
  <si>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</si>
  <si>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</si>
  <si>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</si>
  <si>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</si>
  <si>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</si>
  <si>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</si>
  <si>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</si>
  <si>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</si>
  <si>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</si>
  <si>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</si>
  <si>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</si>
  <si>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</si>
  <si>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</si>
  <si>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</si>
  <si>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</si>
  <si>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</si>
  <si>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</si>
  <si>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</si>
  <si>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</si>
  <si>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</si>
  <si>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</si>
  <si>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</si>
  <si>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</si>
  <si>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</si>
  <si>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</si>
  <si>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</si>
  <si>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</si>
  <si>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</si>
  <si>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</si>
  <si>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</si>
  <si>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</si>
  <si>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</si>
  <si>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</si>
  <si>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</si>
  <si>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</si>
  <si>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</si>
  <si>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</si>
  <si>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</si>
  <si>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</si>
  <si>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</si>
  <si>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</si>
  <si>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</si>
  <si>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</si>
  <si>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</si>
  <si>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</si>
  <si>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</si>
  <si>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</si>
  <si>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</si>
  <si>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</si>
  <si>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</si>
  <si>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</si>
  <si>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</si>
  <si>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</si>
  <si>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</si>
  <si>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</si>
  <si>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</si>
  <si>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</si>
  <si>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</si>
  <si>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</si>
  <si>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</si>
  <si>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</si>
  <si>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</si>
  <si>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</si>
  <si>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</si>
  <si>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</si>
  <si>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</si>
  <si>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</si>
  <si>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</si>
  <si>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</si>
  <si>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</si>
  <si>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</si>
  <si>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</si>
  <si>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</si>
  <si>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</si>
  <si>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</si>
  <si>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</si>
  <si>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</si>
  <si>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</si>
  <si>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</si>
  <si>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</si>
  <si>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</si>
  <si>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</si>
  <si>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</si>
  <si>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</si>
  <si>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</si>
  <si>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</si>
  <si>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</si>
  <si>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</si>
  <si>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</si>
  <si>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</si>
  <si>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</si>
  <si>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</si>
  <si>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</si>
  <si>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</si>
  <si>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</si>
  <si>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</si>
  <si>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</si>
  <si>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</si>
  <si>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</si>
  <si>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</si>
  <si>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</si>
  <si>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</si>
  <si>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</si>
  <si>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</si>
  <si>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</si>
  <si>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</si>
  <si>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</si>
  <si>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</si>
  <si>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</si>
  <si>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</si>
  <si>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</si>
  <si>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</si>
  <si>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</si>
  <si>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</si>
  <si>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</si>
  <si>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</si>
  <si>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</si>
  <si>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</si>
  <si>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</si>
  <si>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</si>
  <si>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</si>
  <si>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</si>
  <si>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</si>
  <si>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</si>
  <si>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</si>
  <si>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</si>
  <si>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</si>
  <si>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</si>
  <si>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</si>
  <si>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</si>
  <si>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</si>
  <si>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</si>
  <si>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</si>
  <si>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</si>
  <si>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</si>
  <si>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</si>
  <si>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</si>
  <si>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</si>
  <si>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</si>
  <si>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</si>
  <si>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</si>
  <si>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</si>
  <si>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</si>
  <si>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</si>
  <si>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</si>
  <si>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</si>
  <si>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</si>
  <si>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</si>
  <si>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</si>
  <si>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</si>
  <si>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</si>
  <si>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</si>
  <si>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</si>
  <si>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</si>
  <si>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</si>
  <si>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</si>
  <si>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</si>
  <si>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</si>
  <si>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</si>
  <si>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</si>
  <si>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</si>
  <si>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</si>
  <si>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</si>
  <si>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КР</t>
  </si>
  <si>
    <t xml:space="preserve">                           Раздел 1. Демонтажные работы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</si>
  <si>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</si>
  <si>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89%=116%*(0.85*0,9) от ФОТ
СП 48%=70%*(0.8*0,85) от ФОТ
 </t>
  </si>
  <si>
    <t>154,66
124,02</t>
  </si>
  <si>
    <t xml:space="preserve">46.70 Разборка покрытий кровель: ОЗП=16,45; ЭМ=2,99; ЗПМ=16,45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</si>
  <si>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</si>
  <si>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74%=87%*0.85 от ФОТ
СП 52%=65%*0.8 от ФОТ
 </t>
  </si>
  <si>
    <t>160,11
120,37</t>
  </si>
  <si>
    <t>39,74
6,21</t>
  </si>
  <si>
    <t xml:space="preserve">84.1 Разборка деревянных элементов конструкций крыш: ОЗП=16,45; ЭМ=12,02; ЗПМ=16,45
 </t>
  </si>
  <si>
    <t>2176
461</t>
  </si>
  <si>
    <t>15,16
0,46</t>
  </si>
  <si>
    <t>69,24
2,1</t>
  </si>
  <si>
    <t>ФЕР10-01-002-01
--------------------
Приказ Минстроя РФ от 30.01.14 №31/пр</t>
  </si>
  <si>
    <t xml:space="preserve">Разборка  стропильной системы, 1 м3 древесины в конструкции
(ПЗ=0,8 (ОЗП=0,8; ЭМ=0,8 к расх.; ЗПМ=0,8; МАТ=0 к расх.; ТЗ=0,8; ТЗМ=0,8))
НР 95%=124%*(0.85*0,9) от ФОТ
СП 43%=63%*(0.8*0,85) от ФОТ
 </t>
  </si>
  <si>
    <t>190,73
160,15</t>
  </si>
  <si>
    <t>30,58
1,62</t>
  </si>
  <si>
    <t xml:space="preserve">10.4. Установка стропил: ОЗП=16,45; ЭМ=10,79; ЗПМ=16,45; МАТ=3,71
 </t>
  </si>
  <si>
    <t>453
33</t>
  </si>
  <si>
    <t>19,27
0,12</t>
  </si>
  <si>
    <t>26,79
0,17</t>
  </si>
  <si>
    <t>ФЕР10-01-010-01
--------------------
Приказ Минстроя РФ от 30.01.14 №31/пр</t>
  </si>
  <si>
    <t xml:space="preserve">Разборка  подстропильной системы, 1 м3 древесины в конструкции
(ПЗ=0,8 (ОЗП=0,8; ЭМ=0,8 к расх.; ЗПМ=0,8; МАТ=0 к расх.; ТЗ=0,8; ТЗМ=0,8))
НР 95%=124%*(0.85*0,9) от ФОТ
СП 43%=63%*(0.8*0,85) от ФОТ
 </t>
  </si>
  <si>
    <t>177,65
150,84</t>
  </si>
  <si>
    <t xml:space="preserve">10.18. Установка деревянных элементов каркаса: ОЗП=16,45; ЭМ=11,08; ЗПМ=16,45; МАТ=3,37
 </t>
  </si>
  <si>
    <t>ФЕРр53-1-1,,применит
--------------------
Приказ Минстроя РФ от 30.01.14 №31/пр</t>
  </si>
  <si>
    <t xml:space="preserve">Разборка обшивки: неоштукатуренных деревянных стен, 100 м2 стен
НР 77%=90%*0.85 от ФОТ
СП 56%=70%*0.8 от ФОТ
 </t>
  </si>
  <si>
    <t>143,39
92,99</t>
  </si>
  <si>
    <t>50,4
6,08</t>
  </si>
  <si>
    <t xml:space="preserve">79.1 Разборка деревянных стен: ОЗП=16,45; ЭМ=10,67; ЗПМ=16,45
 </t>
  </si>
  <si>
    <t>149
33</t>
  </si>
  <si>
    <t>12,3
0,45</t>
  </si>
  <si>
    <t>3,32
0,12</t>
  </si>
  <si>
    <t>ФЕРр69-9-1, прим.
--------------------
Приказ Минстроя РФ от 30.01.14 №31/пр</t>
  </si>
  <si>
    <t xml:space="preserve">Демонтаж утеплителя из доменного шлака, 100 т мусора
НР 70%=82%*0.85 от ФОТ
СП 40%=50%*0.8 от ФОТ
 </t>
  </si>
  <si>
    <t>1553,82
1553,82</t>
  </si>
  <si>
    <t xml:space="preserve">94.16 Очистка помещений от строительного мусора: ОЗП=16,45
 </t>
  </si>
  <si>
    <t>ФЕРр69-15-1
--------------------
Приказ Минстроя РФ от 30.01.14 №31/пр</t>
  </si>
  <si>
    <t xml:space="preserve">Затаривание строительного мусора в мешки, 1 т
НР 70%=82%*0.85 от ФОТ
СП 40%=50%*0.8 от ФОТ
 </t>
  </si>
  <si>
    <t>23,81
7,41</t>
  </si>
  <si>
    <t xml:space="preserve">94.26 Затаривание строительного мусора в мешки: ОЗП=16,45; МАТ=7,38
 </t>
  </si>
  <si>
    <t>ФЕР10-01-039-05
--------------------
Приказ Минстроя России от 12.11.14 №703/пр</t>
  </si>
  <si>
    <t xml:space="preserve">Разборка  люков в перекрытиях, площадь проема до 2 м2, 100 м2 проемов
(ПЗ=0,8 (ОЗП=0,8; ЭМ=0,8 к расх.; ЗПМ=0,8; МАТ=0 к расх.; ТЗ=0,8; ТЗМ=0,8))
НР 95%=124%*(0.85*0,9) от ФОТ
СП 43%=63%*(0.8*0,85) от ФОТ
 </t>
  </si>
  <si>
    <t>1627,62
823,46</t>
  </si>
  <si>
    <t>804,16
104,66</t>
  </si>
  <si>
    <t xml:space="preserve">10.95. Установка люков в перекрытиях: ОЗП=16,45; ЭМ=11,88; ЗПМ=16,45; МАТ=8,17
 </t>
  </si>
  <si>
    <t>95
16</t>
  </si>
  <si>
    <t>97,34
7,75</t>
  </si>
  <si>
    <t>0,95
0,08</t>
  </si>
  <si>
    <t>ФЕРр69-10-1
--------------------
Приказ Минстроя России от 12.11.14 №703/пр</t>
  </si>
  <si>
    <t xml:space="preserve">Очистка вручную поверхности, 100 м2 обработанной поверхности
(МАТ=0 к расх.)
НР 70%=82%*0.85 от ФОТ
СП 40%=50%*0.8 от ФОТ
 </t>
  </si>
  <si>
    <t>23,15
21,41</t>
  </si>
  <si>
    <t xml:space="preserve">94.17 Антисептирование древесины: водными растворами: ОЗП=16,45; ЭМ=11,44; ЗПМ=16,45; МАТ=1,64
 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</si>
  <si>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</si>
  <si>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</si>
  <si>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ЭМ=11,56
 </t>
  </si>
  <si>
    <t>ФССЦпг03-21-01-002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</si>
  <si>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2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</si>
  <si>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2 км.: I класс груза; ЭМ=9,57
 </t>
  </si>
  <si>
    <t>Итого прямые затраты по разделу в ценах 2001г.</t>
  </si>
  <si>
    <t>794
33</t>
  </si>
  <si>
    <t>318,78
2,47</t>
  </si>
  <si>
    <t>Итого прямые затраты по разделу с учетом индексов, в текущих ценах</t>
  </si>
  <si>
    <t>7579
543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</si>
  <si>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</si>
  <si>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</si>
  <si>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</si>
  <si>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</si>
  <si>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Крыши, кровли</t>
  </si>
  <si>
    <t xml:space="preserve">  Деревянные конструкции</t>
  </si>
  <si>
    <t>44,84
0,25</t>
  </si>
  <si>
    <t xml:space="preserve">  Стены</t>
  </si>
  <si>
    <t xml:space="preserve">  Прочие ремонтно-строительные работы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</si>
  <si>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</si>
  <si>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</si>
  <si>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</si>
  <si>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</si>
  <si>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</si>
  <si>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</si>
  <si>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</si>
  <si>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</si>
  <si>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</si>
  <si>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</si>
  <si>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кровли</t>
  </si>
  <si>
    <t xml:space="preserve">                                   Элементы стропильной, пдстропильной системы</t>
  </si>
  <si>
    <t xml:space="preserve">Установка 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</si>
  <si>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2340,26
230,22</t>
  </si>
  <si>
    <t>47,78
2,54</t>
  </si>
  <si>
    <t>2989
247</t>
  </si>
  <si>
    <t>27,7
0,19</t>
  </si>
  <si>
    <t>160,33
1,1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</si>
  <si>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</si>
  <si>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2447,72
216,83</t>
  </si>
  <si>
    <t>ФЕРр58-12-1
--------------------
Приказ Минстроя РФ от 30.01.14 №31/пр</t>
  </si>
  <si>
    <t xml:space="preserve">Устройство обрешетки сплошной из досок, 100 м2
НР 74%=87%*0.85 от ФОТ
СП 52%=65%*0.8 от ФОТ
 </t>
  </si>
  <si>
    <t>2492,19
252,73</t>
  </si>
  <si>
    <t>40,78
5,94</t>
  </si>
  <si>
    <t xml:space="preserve">84.30 Устройство обрешетки сплошной из досок: ОЗП=16,45; ЭМ=10; ЗПМ=16,45; МАТ=5,51
 </t>
  </si>
  <si>
    <t>560
132</t>
  </si>
  <si>
    <t>31,83
0,44</t>
  </si>
  <si>
    <t>43,64
0,6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</si>
  <si>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</si>
  <si>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74%=87%*0.85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</si>
  <si>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</si>
  <si>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</si>
  <si>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ОЗП=16,45; ЭМ=9,83; ЗПМ=16,45; МАТ=5,25
 </t>
  </si>
  <si>
    <t>895
247</t>
  </si>
  <si>
    <t>21,35
0,32</t>
  </si>
  <si>
    <t>72,91
1,09</t>
  </si>
  <si>
    <t>ФЕР10-01-008-05
--------------------
Приказ Минстроя России от 12.11.14 №703/пр</t>
  </si>
  <si>
    <t xml:space="preserve">Устройство: карнизов,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</si>
  <si>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5516,45
1402,76</t>
  </si>
  <si>
    <t xml:space="preserve">10.12. Устройство карнизов: ОЗП=16,45; ЭМ=11,36; ЗПМ=16,45;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</si>
  <si>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</si>
  <si>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</si>
  <si>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МАТ=9,396
 </t>
  </si>
  <si>
    <t>ФССЦ-102-0048
--------------------
Приказ Минстроя России от 12.11.14 №703/пр</t>
  </si>
  <si>
    <t xml:space="preserve">Доски обрезные хвойных пород длиной: 4-6,5 м, шириной 75-150, мм толщиной 19-22 мм, II сорта, м3
 </t>
  </si>
  <si>
    <t xml:space="preserve">Доски обрезные хвойных пород длиной: 4-6,5 м, шириной 75-150, мм толщиной 19-22 мм, II сорта; МАТ=3,677
 </t>
  </si>
  <si>
    <t>ФЕР10-01-008-04
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</si>
  <si>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</si>
  <si>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5445,29
667,05</t>
  </si>
  <si>
    <t xml:space="preserve">10.11. Устройство фронтонов: ОЗП=16,45; ЭМ=11,4; ЗПМ=16,45; МАТ=7,31
 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</si>
  <si>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</si>
  <si>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</si>
  <si>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392,81
65,03</t>
  </si>
  <si>
    <t>27,58
1,86</t>
  </si>
  <si>
    <t xml:space="preserve">10.5. Устройство слуховых окон: ОЗП=16,45; ЭМ=10,98; ЗПМ=16,45; МАТ=5,3
 </t>
  </si>
  <si>
    <t>307
33</t>
  </si>
  <si>
    <t>7,62
0,14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</si>
  <si>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</si>
  <si>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</si>
  <si>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МАТ=1,941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</si>
  <si>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</si>
  <si>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</si>
  <si>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МАТ=2,337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</si>
  <si>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</si>
  <si>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</si>
  <si>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286,46
141,19</t>
  </si>
  <si>
    <t>143,43
2,03</t>
  </si>
  <si>
    <t xml:space="preserve">26.104 Огнебиозащитное покрытие деревянных конструкций составами 'Пирилакс' (любой модификации): ОЗП=16,45; ЭМ=11,16; ЗПМ=16,45; МАТ=19,16
 </t>
  </si>
  <si>
    <t>24474
510</t>
  </si>
  <si>
    <t>14,85
0,18</t>
  </si>
  <si>
    <t>227,09
2,75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</si>
  <si>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</si>
  <si>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</si>
  <si>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>458,76
1529,2*0,3</t>
  </si>
  <si>
    <t xml:space="preserve">ТССЦ-113-0515-00005  226,68/18,53=12,23; МАТ=12,23
 </t>
  </si>
  <si>
    <t>ФЕР15-04-019-05
--------------------
Приказ Минстроя РФ от 30.01.14 №31/пр</t>
  </si>
  <si>
    <t xml:space="preserve">Окраска фасадов акриловыми составами: с лесов вручную с подготовкой поверхности,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84%=110%*(0.85*0,9) от ФОТ
СП 37%=55%*(0.8*0,85) от ФОТ
 </t>
  </si>
  <si>
    <t>721,18
147,43</t>
  </si>
  <si>
    <t xml:space="preserve">15.152 Окраска фасадов акриловыми составами: с лесов с подготовкой поверхности: ОЗП=16,45; ЭМ=9,97; ЗПМ=16,45; МАТ=5,28
 </t>
  </si>
  <si>
    <t xml:space="preserve">                                   Элементы кровли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</si>
  <si>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</si>
  <si>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74%=87%*0.85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</si>
  <si>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</si>
  <si>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ОЗП=16,45; ЭМ=11,42; ЗПМ=16,45; МАТ=5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</si>
  <si>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</si>
  <si>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</si>
  <si>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</si>
  <si>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ФССЦ-101-7200
--------------------
Приказ Минстроя России от 12.11.14 №703/пр</t>
  </si>
  <si>
    <t xml:space="preserve">ИЗОСПАН: D, 10 м2
 </t>
  </si>
  <si>
    <t xml:space="preserve">ТССЦ-104-9221-900004  18,33/3,75=4,89; МАТ=4,89
 </t>
  </si>
  <si>
    <t>ФЕР12-01-023-01, прим.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</si>
  <si>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</si>
  <si>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9676,33
382,84</t>
  </si>
  <si>
    <t>144,05
13,34</t>
  </si>
  <si>
    <t xml:space="preserve">12.51. Устройство кровли из металлочерепицы (с отделочным покрытием): ОЗП=16,45; ЭМ=11,1; ЗПМ=16,45; МАТ=3,6
 </t>
  </si>
  <si>
    <t>7315
1003</t>
  </si>
  <si>
    <t>44,31
0,99</t>
  </si>
  <si>
    <t>202,81
4,53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</si>
  <si>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</si>
  <si>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</si>
  <si>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МАТ=3,818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</si>
  <si>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</si>
  <si>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</si>
  <si>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3,988856
8,3*457,7*1,05/1000</t>
  </si>
  <si>
    <t xml:space="preserve">Профилированный лист оцинкованный: НС44-1000-0,7; МАТ=4,286
 </t>
  </si>
  <si>
    <t>ФССЦ-101-2405
--------------------
Приказ Минстроя России от 12.11.14 №703/пр</t>
  </si>
  <si>
    <t xml:space="preserve">Начальная планка из оцинкованной стали с полимерным покрытием, п.м
 </t>
  </si>
  <si>
    <t xml:space="preserve">Начальная планка из оцинкованной стали с полимерным покрытием; МАТ=1,511
 </t>
  </si>
  <si>
    <t>ФЕР09-05-006-01
--------------------
Приказ Минстроя РФ от 30.01.14 №31/пр</t>
  </si>
  <si>
    <t>Проведена проверка достоверности определения сметной стоимости</t>
  </si>
  <si>
    <t>Составил:____________________________</t>
  </si>
  <si>
    <t xml:space="preserve">Проверил:____________________________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</si>
</sst>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52" fillId="0" borderId="0" xfId="0" applyFont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0"/>
  <sheetViews>
    <sheetView showGridLines="0" tabSelected="1" zoomScale="104" zoomScaleNormal="104" zoomScalePageLayoutView="0" workbookViewId="0" topLeftCell="A1">
      <selection activeCell="H11" sqref="H11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214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515</v>
      </c>
      <c r="B2" s="53"/>
      <c r="D2" s="56"/>
      <c r="F2" s="58" t="s">
        <v>300</v>
      </c>
      <c r="G2" s="58"/>
      <c r="I2" s="59"/>
      <c r="J2" s="57"/>
      <c r="K2" s="57" t="s">
        <v>516</v>
      </c>
      <c r="L2" s="57"/>
      <c r="M2" s="52"/>
    </row>
    <row r="3" spans="1:13" s="49" customFormat="1" ht="12">
      <c r="A3" s="57" t="s">
        <v>517</v>
      </c>
      <c r="E3" s="52"/>
      <c r="F3" s="52"/>
      <c r="G3" s="52"/>
      <c r="H3" s="52"/>
      <c r="I3" s="52"/>
      <c r="J3" s="57"/>
      <c r="K3" s="57" t="s">
        <v>225</v>
      </c>
      <c r="L3" s="57"/>
      <c r="M3" s="52"/>
    </row>
    <row r="4" spans="1:13" s="49" customFormat="1" ht="12">
      <c r="A4" s="52"/>
      <c r="B4" s="52"/>
      <c r="C4" s="52"/>
      <c r="F4" s="60" t="s">
        <v>213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301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218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531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4" t="s">
        <v>533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3" ht="12" customHeight="1">
      <c r="A11" s="66" t="s">
        <v>520</v>
      </c>
      <c r="B11" s="67"/>
      <c r="C11" s="95">
        <v>1743263</v>
      </c>
      <c r="D11" s="95"/>
      <c r="E11" s="95"/>
      <c r="F11" s="57" t="s">
        <v>519</v>
      </c>
      <c r="G11" s="68"/>
      <c r="H11" s="68"/>
      <c r="I11" s="68"/>
      <c r="J11" s="88" t="s">
        <v>716</v>
      </c>
      <c r="K11" s="88"/>
      <c r="L11" s="88"/>
      <c r="M11" s="88"/>
    </row>
    <row r="12" spans="1:13" ht="12" customHeight="1">
      <c r="A12" s="66" t="s">
        <v>530</v>
      </c>
      <c r="B12" s="67"/>
      <c r="C12" s="69"/>
      <c r="D12" s="96">
        <v>285110</v>
      </c>
      <c r="E12" s="96"/>
      <c r="F12" s="57" t="s">
        <v>519</v>
      </c>
      <c r="G12" s="68"/>
      <c r="H12" s="68"/>
      <c r="I12" s="68"/>
      <c r="J12" s="88"/>
      <c r="K12" s="88"/>
      <c r="L12" s="88"/>
      <c r="M12" s="88"/>
    </row>
    <row r="13" spans="1:13" ht="12" customHeight="1">
      <c r="A13" s="66" t="s">
        <v>215</v>
      </c>
      <c r="B13" s="46"/>
      <c r="C13" s="70"/>
      <c r="D13" s="71"/>
      <c r="E13" s="72"/>
      <c r="F13" s="73"/>
      <c r="G13" s="74"/>
      <c r="H13" s="74"/>
      <c r="I13" s="68"/>
      <c r="J13" s="88"/>
      <c r="K13" s="88"/>
      <c r="L13" s="88"/>
      <c r="M13" s="88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519</v>
      </c>
    </row>
    <row r="15" spans="1:14" ht="12.75" customHeight="1">
      <c r="A15" s="111" t="s">
        <v>302</v>
      </c>
      <c r="B15" s="111" t="s">
        <v>527</v>
      </c>
      <c r="C15" s="97" t="s">
        <v>532</v>
      </c>
      <c r="D15" s="97" t="s">
        <v>528</v>
      </c>
      <c r="E15" s="103" t="s">
        <v>216</v>
      </c>
      <c r="F15" s="104"/>
      <c r="G15" s="105"/>
      <c r="H15" s="97" t="s">
        <v>514</v>
      </c>
      <c r="I15" s="103" t="s">
        <v>217</v>
      </c>
      <c r="J15" s="109"/>
      <c r="K15" s="109"/>
      <c r="L15" s="100"/>
      <c r="M15" s="99" t="s">
        <v>529</v>
      </c>
      <c r="N15" s="100"/>
    </row>
    <row r="16" spans="1:14" s="50" customFormat="1" ht="38.25" customHeight="1">
      <c r="A16" s="112"/>
      <c r="B16" s="112"/>
      <c r="C16" s="112"/>
      <c r="D16" s="112"/>
      <c r="E16" s="106"/>
      <c r="F16" s="107"/>
      <c r="G16" s="108"/>
      <c r="H16" s="112"/>
      <c r="I16" s="101"/>
      <c r="J16" s="110"/>
      <c r="K16" s="110"/>
      <c r="L16" s="102"/>
      <c r="M16" s="101"/>
      <c r="N16" s="102"/>
    </row>
    <row r="17" spans="1:14" s="50" customFormat="1" ht="12.75" customHeight="1">
      <c r="A17" s="112"/>
      <c r="B17" s="112"/>
      <c r="C17" s="112"/>
      <c r="D17" s="112"/>
      <c r="E17" s="75" t="s">
        <v>522</v>
      </c>
      <c r="F17" s="75" t="s">
        <v>524</v>
      </c>
      <c r="G17" s="97" t="s">
        <v>526</v>
      </c>
      <c r="H17" s="112"/>
      <c r="I17" s="97" t="s">
        <v>522</v>
      </c>
      <c r="J17" s="97" t="s">
        <v>525</v>
      </c>
      <c r="K17" s="75" t="s">
        <v>524</v>
      </c>
      <c r="L17" s="97" t="s">
        <v>526</v>
      </c>
      <c r="M17" s="111" t="s">
        <v>518</v>
      </c>
      <c r="N17" s="97" t="s">
        <v>522</v>
      </c>
    </row>
    <row r="18" spans="1:14" s="50" customFormat="1" ht="11.25" customHeight="1">
      <c r="A18" s="98"/>
      <c r="B18" s="98"/>
      <c r="C18" s="98"/>
      <c r="D18" s="98"/>
      <c r="E18" s="76" t="s">
        <v>521</v>
      </c>
      <c r="F18" s="75" t="s">
        <v>523</v>
      </c>
      <c r="G18" s="98"/>
      <c r="H18" s="98"/>
      <c r="I18" s="98"/>
      <c r="J18" s="98"/>
      <c r="K18" s="75" t="s">
        <v>523</v>
      </c>
      <c r="L18" s="98"/>
      <c r="M18" s="98"/>
      <c r="N18" s="98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2" t="s">
        <v>534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60">
      <c r="A21" s="78">
        <v>1</v>
      </c>
      <c r="B21" s="79" t="s">
        <v>535</v>
      </c>
      <c r="C21" s="79" t="s">
        <v>536</v>
      </c>
      <c r="D21" s="78">
        <v>4.674</v>
      </c>
      <c r="E21" s="80" t="s">
        <v>537</v>
      </c>
      <c r="F21" s="80">
        <v>30.64</v>
      </c>
      <c r="G21" s="80"/>
      <c r="H21" s="81" t="s">
        <v>538</v>
      </c>
      <c r="I21" s="82">
        <v>9969</v>
      </c>
      <c r="J21" s="80">
        <v>9541</v>
      </c>
      <c r="K21" s="80">
        <v>428</v>
      </c>
      <c r="L21" s="80" t="str">
        <f>IF(4.674*0=0," ",TEXT(,ROUND((4.674*0*1),2)))</f>
        <v> </v>
      </c>
      <c r="M21" s="80">
        <v>15.9</v>
      </c>
      <c r="N21" s="80">
        <v>74.32</v>
      </c>
    </row>
    <row r="22" spans="1:14" ht="60">
      <c r="A22" s="78">
        <v>2</v>
      </c>
      <c r="B22" s="79" t="s">
        <v>539</v>
      </c>
      <c r="C22" s="79" t="s">
        <v>540</v>
      </c>
      <c r="D22" s="78">
        <v>4.567</v>
      </c>
      <c r="E22" s="80" t="s">
        <v>541</v>
      </c>
      <c r="F22" s="80" t="s">
        <v>542</v>
      </c>
      <c r="G22" s="80"/>
      <c r="H22" s="81" t="s">
        <v>543</v>
      </c>
      <c r="I22" s="82">
        <v>11224</v>
      </c>
      <c r="J22" s="80">
        <v>9048</v>
      </c>
      <c r="K22" s="80" t="s">
        <v>544</v>
      </c>
      <c r="L22" s="80" t="str">
        <f>IF(4.567*0=0," ",TEXT(,ROUND((4.567*0*1),2)))</f>
        <v> </v>
      </c>
      <c r="M22" s="80" t="s">
        <v>545</v>
      </c>
      <c r="N22" s="80" t="s">
        <v>546</v>
      </c>
    </row>
    <row r="23" spans="1:14" ht="84">
      <c r="A23" s="78">
        <v>3</v>
      </c>
      <c r="B23" s="79" t="s">
        <v>547</v>
      </c>
      <c r="C23" s="79" t="s">
        <v>548</v>
      </c>
      <c r="D23" s="78">
        <v>1.39</v>
      </c>
      <c r="E23" s="80" t="s">
        <v>549</v>
      </c>
      <c r="F23" s="80" t="s">
        <v>550</v>
      </c>
      <c r="G23" s="80"/>
      <c r="H23" s="81" t="s">
        <v>551</v>
      </c>
      <c r="I23" s="82">
        <v>4121</v>
      </c>
      <c r="J23" s="80">
        <v>3668</v>
      </c>
      <c r="K23" s="80" t="s">
        <v>552</v>
      </c>
      <c r="L23" s="80" t="str">
        <f>IF(1.39*0=0," ",TEXT(,ROUND((1.39*0*3.71),2)))</f>
        <v> </v>
      </c>
      <c r="M23" s="80" t="s">
        <v>553</v>
      </c>
      <c r="N23" s="80" t="s">
        <v>554</v>
      </c>
    </row>
    <row r="24" spans="1:14" ht="84">
      <c r="A24" s="78">
        <v>4</v>
      </c>
      <c r="B24" s="79" t="s">
        <v>555</v>
      </c>
      <c r="C24" s="79" t="s">
        <v>556</v>
      </c>
      <c r="D24" s="78">
        <v>0.95</v>
      </c>
      <c r="E24" s="80" t="s">
        <v>557</v>
      </c>
      <c r="F24" s="80">
        <v>26.81</v>
      </c>
      <c r="G24" s="80"/>
      <c r="H24" s="81" t="s">
        <v>558</v>
      </c>
      <c r="I24" s="82">
        <v>2646</v>
      </c>
      <c r="J24" s="80">
        <v>2369</v>
      </c>
      <c r="K24" s="80">
        <v>277</v>
      </c>
      <c r="L24" s="80" t="str">
        <f>IF(0.95*0=0," ",TEXT(,ROUND((0.95*0*3.37),2)))</f>
        <v> </v>
      </c>
      <c r="M24" s="80">
        <v>18</v>
      </c>
      <c r="N24" s="80">
        <v>17.1</v>
      </c>
    </row>
    <row r="25" spans="1:14" ht="72">
      <c r="A25" s="78">
        <v>5</v>
      </c>
      <c r="B25" s="79" t="s">
        <v>559</v>
      </c>
      <c r="C25" s="79" t="s">
        <v>560</v>
      </c>
      <c r="D25" s="78">
        <v>0.27</v>
      </c>
      <c r="E25" s="80" t="s">
        <v>561</v>
      </c>
      <c r="F25" s="80" t="s">
        <v>562</v>
      </c>
      <c r="G25" s="80"/>
      <c r="H25" s="81" t="s">
        <v>563</v>
      </c>
      <c r="I25" s="82">
        <v>560</v>
      </c>
      <c r="J25" s="80">
        <v>411</v>
      </c>
      <c r="K25" s="80" t="s">
        <v>564</v>
      </c>
      <c r="L25" s="80" t="str">
        <f>IF(0.27*0=0," ",TEXT(,ROUND((0.27*0*1),2)))</f>
        <v> </v>
      </c>
      <c r="M25" s="80" t="s">
        <v>565</v>
      </c>
      <c r="N25" s="80" t="s">
        <v>566</v>
      </c>
    </row>
    <row r="26" spans="1:14" ht="60">
      <c r="A26" s="78">
        <v>6</v>
      </c>
      <c r="B26" s="79" t="s">
        <v>567</v>
      </c>
      <c r="C26" s="79" t="s">
        <v>568</v>
      </c>
      <c r="D26" s="78">
        <v>0.3684</v>
      </c>
      <c r="E26" s="80" t="s">
        <v>569</v>
      </c>
      <c r="F26" s="80"/>
      <c r="G26" s="80"/>
      <c r="H26" s="81" t="s">
        <v>570</v>
      </c>
      <c r="I26" s="82">
        <v>9409</v>
      </c>
      <c r="J26" s="80">
        <v>9409</v>
      </c>
      <c r="K26" s="80"/>
      <c r="L26" s="80" t="str">
        <f>IF(0.3684*0=0," ",TEXT(,ROUND((0.3684*0*1),2)))</f>
        <v> </v>
      </c>
      <c r="M26" s="80">
        <v>214.32</v>
      </c>
      <c r="N26" s="80">
        <v>78.96</v>
      </c>
    </row>
    <row r="27" spans="1:14" ht="60">
      <c r="A27" s="78">
        <v>7</v>
      </c>
      <c r="B27" s="79" t="s">
        <v>571</v>
      </c>
      <c r="C27" s="79" t="s">
        <v>572</v>
      </c>
      <c r="D27" s="78">
        <v>36.84</v>
      </c>
      <c r="E27" s="80" t="s">
        <v>573</v>
      </c>
      <c r="F27" s="80"/>
      <c r="G27" s="80">
        <v>16.4</v>
      </c>
      <c r="H27" s="81" t="s">
        <v>574</v>
      </c>
      <c r="I27" s="82">
        <v>8949</v>
      </c>
      <c r="J27" s="80">
        <v>4491</v>
      </c>
      <c r="K27" s="80"/>
      <c r="L27" s="80" t="str">
        <f>IF(36.84*16.4=0," ",TEXT(,ROUND((36.84*16.4*7.38),2)))</f>
        <v>4458,82</v>
      </c>
      <c r="M27" s="80">
        <v>1.03</v>
      </c>
      <c r="N27" s="80">
        <v>37.95</v>
      </c>
    </row>
    <row r="28" spans="1:14" ht="96">
      <c r="A28" s="78">
        <v>8</v>
      </c>
      <c r="B28" s="79" t="s">
        <v>575</v>
      </c>
      <c r="C28" s="79" t="s">
        <v>576</v>
      </c>
      <c r="D28" s="78">
        <v>0.0098</v>
      </c>
      <c r="E28" s="80" t="s">
        <v>577</v>
      </c>
      <c r="F28" s="80" t="s">
        <v>578</v>
      </c>
      <c r="G28" s="80"/>
      <c r="H28" s="81" t="s">
        <v>579</v>
      </c>
      <c r="I28" s="82">
        <v>227</v>
      </c>
      <c r="J28" s="80">
        <v>132</v>
      </c>
      <c r="K28" s="80" t="s">
        <v>580</v>
      </c>
      <c r="L28" s="80" t="str">
        <f>IF(0.0098*0=0," ",TEXT(,ROUND((0.0098*0*8.17),2)))</f>
        <v> </v>
      </c>
      <c r="M28" s="80" t="s">
        <v>581</v>
      </c>
      <c r="N28" s="80" t="s">
        <v>582</v>
      </c>
    </row>
    <row r="29" spans="1:14" ht="60">
      <c r="A29" s="78">
        <v>9</v>
      </c>
      <c r="B29" s="79" t="s">
        <v>583</v>
      </c>
      <c r="C29" s="79" t="s">
        <v>584</v>
      </c>
      <c r="D29" s="78">
        <v>4.043</v>
      </c>
      <c r="E29" s="80" t="s">
        <v>585</v>
      </c>
      <c r="F29" s="80">
        <v>1.74</v>
      </c>
      <c r="G29" s="80"/>
      <c r="H29" s="81" t="s">
        <v>586</v>
      </c>
      <c r="I29" s="82">
        <v>1511</v>
      </c>
      <c r="J29" s="80">
        <v>1431</v>
      </c>
      <c r="K29" s="80">
        <v>80</v>
      </c>
      <c r="L29" s="80" t="str">
        <f>IF(4.043*0=0," ",TEXT(,ROUND((4.043*0*1.64),2)))</f>
        <v> </v>
      </c>
      <c r="M29" s="80">
        <v>2.51</v>
      </c>
      <c r="N29" s="80">
        <v>10.15</v>
      </c>
    </row>
    <row r="30" spans="1:14" ht="72">
      <c r="A30" s="78">
        <v>10</v>
      </c>
      <c r="B30" s="79" t="s">
        <v>587</v>
      </c>
      <c r="C30" s="79" t="s">
        <v>588</v>
      </c>
      <c r="D30" s="78">
        <v>52.39</v>
      </c>
      <c r="E30" s="80">
        <v>3.28</v>
      </c>
      <c r="F30" s="80">
        <v>3.28</v>
      </c>
      <c r="G30" s="80"/>
      <c r="H30" s="81" t="s">
        <v>589</v>
      </c>
      <c r="I30" s="82">
        <v>1988</v>
      </c>
      <c r="J30" s="80"/>
      <c r="K30" s="80">
        <v>1988</v>
      </c>
      <c r="L30" s="80" t="str">
        <f>IF(52.39*0=0," ",TEXT(,ROUND((52.39*0*1),2)))</f>
        <v> </v>
      </c>
      <c r="M30" s="80"/>
      <c r="N30" s="80"/>
    </row>
    <row r="31" spans="1:14" ht="84">
      <c r="A31" s="78">
        <v>11</v>
      </c>
      <c r="B31" s="79" t="s">
        <v>590</v>
      </c>
      <c r="C31" s="79" t="s">
        <v>591</v>
      </c>
      <c r="D31" s="78">
        <v>52.39</v>
      </c>
      <c r="E31" s="80">
        <v>3.86</v>
      </c>
      <c r="F31" s="80">
        <v>3.86</v>
      </c>
      <c r="G31" s="80"/>
      <c r="H31" s="81" t="s">
        <v>592</v>
      </c>
      <c r="I31" s="82">
        <v>1933</v>
      </c>
      <c r="J31" s="80"/>
      <c r="K31" s="80">
        <v>1933</v>
      </c>
      <c r="L31" s="80" t="str">
        <f>IF(52.39*0=0," ",TEXT(,ROUND((52.39*0*1),2)))</f>
        <v> </v>
      </c>
      <c r="M31" s="80"/>
      <c r="N31" s="80"/>
    </row>
    <row r="32" spans="1:14" ht="24">
      <c r="A32" s="90" t="s">
        <v>593</v>
      </c>
      <c r="B32" s="90"/>
      <c r="C32" s="90"/>
      <c r="D32" s="90"/>
      <c r="E32" s="90"/>
      <c r="F32" s="90"/>
      <c r="G32" s="90"/>
      <c r="H32" s="90"/>
      <c r="I32" s="82">
        <v>3860</v>
      </c>
      <c r="J32" s="80">
        <v>2462</v>
      </c>
      <c r="K32" s="80" t="s">
        <v>594</v>
      </c>
      <c r="L32" s="80">
        <v>604</v>
      </c>
      <c r="M32" s="80"/>
      <c r="N32" s="80" t="s">
        <v>595</v>
      </c>
    </row>
    <row r="33" spans="1:14" ht="24">
      <c r="A33" s="90" t="s">
        <v>596</v>
      </c>
      <c r="B33" s="90"/>
      <c r="C33" s="90"/>
      <c r="D33" s="90"/>
      <c r="E33" s="90"/>
      <c r="F33" s="90"/>
      <c r="G33" s="90"/>
      <c r="H33" s="90"/>
      <c r="I33" s="82">
        <v>52537</v>
      </c>
      <c r="J33" s="80">
        <v>40500</v>
      </c>
      <c r="K33" s="80" t="s">
        <v>597</v>
      </c>
      <c r="L33" s="80">
        <v>4458</v>
      </c>
      <c r="M33" s="80"/>
      <c r="N33" s="80" t="s">
        <v>595</v>
      </c>
    </row>
    <row r="34" spans="1:14" ht="12">
      <c r="A34" s="90" t="s">
        <v>598</v>
      </c>
      <c r="B34" s="90"/>
      <c r="C34" s="90"/>
      <c r="D34" s="90"/>
      <c r="E34" s="90"/>
      <c r="F34" s="90"/>
      <c r="G34" s="90"/>
      <c r="H34" s="90"/>
      <c r="I34" s="82">
        <v>32509</v>
      </c>
      <c r="J34" s="80"/>
      <c r="K34" s="80"/>
      <c r="L34" s="80"/>
      <c r="M34" s="80"/>
      <c r="N34" s="80"/>
    </row>
    <row r="35" spans="1:14" ht="12">
      <c r="A35" s="90" t="s">
        <v>599</v>
      </c>
      <c r="B35" s="90"/>
      <c r="C35" s="90"/>
      <c r="D35" s="90"/>
      <c r="E35" s="90"/>
      <c r="F35" s="90"/>
      <c r="G35" s="90"/>
      <c r="H35" s="90"/>
      <c r="I35" s="82">
        <v>18580</v>
      </c>
      <c r="J35" s="80"/>
      <c r="K35" s="80"/>
      <c r="L35" s="80"/>
      <c r="M35" s="80"/>
      <c r="N35" s="80"/>
    </row>
    <row r="36" spans="1:14" ht="12">
      <c r="A36" s="92" t="s">
        <v>600</v>
      </c>
      <c r="B36" s="92"/>
      <c r="C36" s="92"/>
      <c r="D36" s="92"/>
      <c r="E36" s="92"/>
      <c r="F36" s="92"/>
      <c r="G36" s="92"/>
      <c r="H36" s="92"/>
      <c r="I36" s="82"/>
      <c r="J36" s="80"/>
      <c r="K36" s="80"/>
      <c r="L36" s="80"/>
      <c r="M36" s="80"/>
      <c r="N36" s="80"/>
    </row>
    <row r="37" spans="1:14" ht="24" customHeight="1">
      <c r="A37" s="90" t="s">
        <v>601</v>
      </c>
      <c r="B37" s="90"/>
      <c r="C37" s="90"/>
      <c r="D37" s="90"/>
      <c r="E37" s="90"/>
      <c r="F37" s="90"/>
      <c r="G37" s="90"/>
      <c r="H37" s="90"/>
      <c r="I37" s="82">
        <v>23040</v>
      </c>
      <c r="J37" s="80"/>
      <c r="K37" s="80"/>
      <c r="L37" s="80"/>
      <c r="M37" s="80"/>
      <c r="N37" s="80">
        <v>74.32</v>
      </c>
    </row>
    <row r="38" spans="1:14" ht="24">
      <c r="A38" s="90" t="s">
        <v>602</v>
      </c>
      <c r="B38" s="90"/>
      <c r="C38" s="90"/>
      <c r="D38" s="90"/>
      <c r="E38" s="90"/>
      <c r="F38" s="90"/>
      <c r="G38" s="90"/>
      <c r="H38" s="90"/>
      <c r="I38" s="82">
        <v>23206</v>
      </c>
      <c r="J38" s="80"/>
      <c r="K38" s="80"/>
      <c r="L38" s="80"/>
      <c r="M38" s="80"/>
      <c r="N38" s="80" t="s">
        <v>546</v>
      </c>
    </row>
    <row r="39" spans="1:14" ht="24">
      <c r="A39" s="90" t="s">
        <v>603</v>
      </c>
      <c r="B39" s="90"/>
      <c r="C39" s="90"/>
      <c r="D39" s="90"/>
      <c r="E39" s="90"/>
      <c r="F39" s="90"/>
      <c r="G39" s="90"/>
      <c r="H39" s="90"/>
      <c r="I39" s="82">
        <v>15575</v>
      </c>
      <c r="J39" s="80"/>
      <c r="K39" s="80"/>
      <c r="L39" s="80"/>
      <c r="M39" s="80"/>
      <c r="N39" s="80" t="s">
        <v>604</v>
      </c>
    </row>
    <row r="40" spans="1:14" ht="24">
      <c r="A40" s="90" t="s">
        <v>605</v>
      </c>
      <c r="B40" s="90"/>
      <c r="C40" s="90"/>
      <c r="D40" s="90"/>
      <c r="E40" s="90"/>
      <c r="F40" s="90"/>
      <c r="G40" s="90"/>
      <c r="H40" s="90"/>
      <c r="I40" s="82">
        <v>1151</v>
      </c>
      <c r="J40" s="80"/>
      <c r="K40" s="80"/>
      <c r="L40" s="80"/>
      <c r="M40" s="80"/>
      <c r="N40" s="80" t="s">
        <v>566</v>
      </c>
    </row>
    <row r="41" spans="1:14" ht="12">
      <c r="A41" s="90" t="s">
        <v>606</v>
      </c>
      <c r="B41" s="90"/>
      <c r="C41" s="90"/>
      <c r="D41" s="90"/>
      <c r="E41" s="90"/>
      <c r="F41" s="90"/>
      <c r="G41" s="90"/>
      <c r="H41" s="90"/>
      <c r="I41" s="82">
        <v>36733</v>
      </c>
      <c r="J41" s="80"/>
      <c r="K41" s="80"/>
      <c r="L41" s="80"/>
      <c r="M41" s="80"/>
      <c r="N41" s="80">
        <v>127.06</v>
      </c>
    </row>
    <row r="42" spans="1:14" ht="12">
      <c r="A42" s="90" t="s">
        <v>607</v>
      </c>
      <c r="B42" s="90"/>
      <c r="C42" s="90"/>
      <c r="D42" s="90"/>
      <c r="E42" s="90"/>
      <c r="F42" s="90"/>
      <c r="G42" s="90"/>
      <c r="H42" s="90"/>
      <c r="I42" s="82">
        <v>1988</v>
      </c>
      <c r="J42" s="80"/>
      <c r="K42" s="80"/>
      <c r="L42" s="80"/>
      <c r="M42" s="80"/>
      <c r="N42" s="80"/>
    </row>
    <row r="43" spans="1:14" ht="12">
      <c r="A43" s="90" t="s">
        <v>608</v>
      </c>
      <c r="B43" s="90"/>
      <c r="C43" s="90"/>
      <c r="D43" s="90"/>
      <c r="E43" s="90"/>
      <c r="F43" s="90"/>
      <c r="G43" s="90"/>
      <c r="H43" s="90"/>
      <c r="I43" s="82">
        <v>1933</v>
      </c>
      <c r="J43" s="80"/>
      <c r="K43" s="80"/>
      <c r="L43" s="80"/>
      <c r="M43" s="80"/>
      <c r="N43" s="80"/>
    </row>
    <row r="44" spans="1:14" ht="24">
      <c r="A44" s="90" t="s">
        <v>609</v>
      </c>
      <c r="B44" s="90"/>
      <c r="C44" s="90"/>
      <c r="D44" s="90"/>
      <c r="E44" s="90"/>
      <c r="F44" s="90"/>
      <c r="G44" s="90"/>
      <c r="H44" s="90"/>
      <c r="I44" s="82">
        <v>103626</v>
      </c>
      <c r="J44" s="80"/>
      <c r="K44" s="80"/>
      <c r="L44" s="80"/>
      <c r="M44" s="80"/>
      <c r="N44" s="80" t="s">
        <v>595</v>
      </c>
    </row>
    <row r="45" spans="1:14" ht="12">
      <c r="A45" s="90" t="s">
        <v>610</v>
      </c>
      <c r="B45" s="90"/>
      <c r="C45" s="90"/>
      <c r="D45" s="90"/>
      <c r="E45" s="90"/>
      <c r="F45" s="90"/>
      <c r="G45" s="90"/>
      <c r="H45" s="90"/>
      <c r="I45" s="82"/>
      <c r="J45" s="80"/>
      <c r="K45" s="80"/>
      <c r="L45" s="80"/>
      <c r="M45" s="80"/>
      <c r="N45" s="80"/>
    </row>
    <row r="46" spans="1:14" ht="12">
      <c r="A46" s="90" t="s">
        <v>611</v>
      </c>
      <c r="B46" s="90"/>
      <c r="C46" s="90"/>
      <c r="D46" s="90"/>
      <c r="E46" s="90"/>
      <c r="F46" s="90"/>
      <c r="G46" s="90"/>
      <c r="H46" s="90"/>
      <c r="I46" s="82">
        <v>4458</v>
      </c>
      <c r="J46" s="80"/>
      <c r="K46" s="80"/>
      <c r="L46" s="80"/>
      <c r="M46" s="80"/>
      <c r="N46" s="80"/>
    </row>
    <row r="47" spans="1:14" ht="12">
      <c r="A47" s="90" t="s">
        <v>612</v>
      </c>
      <c r="B47" s="90"/>
      <c r="C47" s="90"/>
      <c r="D47" s="90"/>
      <c r="E47" s="90"/>
      <c r="F47" s="90"/>
      <c r="G47" s="90"/>
      <c r="H47" s="90"/>
      <c r="I47" s="82">
        <v>7579</v>
      </c>
      <c r="J47" s="80"/>
      <c r="K47" s="80"/>
      <c r="L47" s="80"/>
      <c r="M47" s="80"/>
      <c r="N47" s="80"/>
    </row>
    <row r="48" spans="1:14" ht="12">
      <c r="A48" s="90" t="s">
        <v>613</v>
      </c>
      <c r="B48" s="90"/>
      <c r="C48" s="90"/>
      <c r="D48" s="90"/>
      <c r="E48" s="90"/>
      <c r="F48" s="90"/>
      <c r="G48" s="90"/>
      <c r="H48" s="90"/>
      <c r="I48" s="82">
        <v>41043</v>
      </c>
      <c r="J48" s="80"/>
      <c r="K48" s="80"/>
      <c r="L48" s="80"/>
      <c r="M48" s="80"/>
      <c r="N48" s="80"/>
    </row>
    <row r="49" spans="1:14" ht="12">
      <c r="A49" s="90" t="s">
        <v>614</v>
      </c>
      <c r="B49" s="90"/>
      <c r="C49" s="90"/>
      <c r="D49" s="90"/>
      <c r="E49" s="90"/>
      <c r="F49" s="90"/>
      <c r="G49" s="90"/>
      <c r="H49" s="90"/>
      <c r="I49" s="82">
        <v>32509</v>
      </c>
      <c r="J49" s="80"/>
      <c r="K49" s="80"/>
      <c r="L49" s="80"/>
      <c r="M49" s="80"/>
      <c r="N49" s="80"/>
    </row>
    <row r="50" spans="1:14" ht="12">
      <c r="A50" s="90" t="s">
        <v>615</v>
      </c>
      <c r="B50" s="90"/>
      <c r="C50" s="90"/>
      <c r="D50" s="90"/>
      <c r="E50" s="90"/>
      <c r="F50" s="90"/>
      <c r="G50" s="90"/>
      <c r="H50" s="90"/>
      <c r="I50" s="82">
        <v>18580</v>
      </c>
      <c r="J50" s="80"/>
      <c r="K50" s="80"/>
      <c r="L50" s="80"/>
      <c r="M50" s="80"/>
      <c r="N50" s="80"/>
    </row>
    <row r="51" spans="1:14" ht="24">
      <c r="A51" s="92" t="s">
        <v>616</v>
      </c>
      <c r="B51" s="92"/>
      <c r="C51" s="92"/>
      <c r="D51" s="92"/>
      <c r="E51" s="92"/>
      <c r="F51" s="92"/>
      <c r="G51" s="92"/>
      <c r="H51" s="92"/>
      <c r="I51" s="82">
        <v>103626</v>
      </c>
      <c r="J51" s="80"/>
      <c r="K51" s="80"/>
      <c r="L51" s="80"/>
      <c r="M51" s="80"/>
      <c r="N51" s="80" t="s">
        <v>595</v>
      </c>
    </row>
    <row r="52" spans="1:14" ht="17.25" customHeight="1">
      <c r="A52" s="92" t="s">
        <v>617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1:14" ht="17.25" customHeight="1">
      <c r="A53" s="93" t="s">
        <v>618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4" ht="120">
      <c r="A54" s="78">
        <v>12</v>
      </c>
      <c r="B54" s="79" t="s">
        <v>547</v>
      </c>
      <c r="C54" s="79" t="s">
        <v>619</v>
      </c>
      <c r="D54" s="78">
        <v>5.788</v>
      </c>
      <c r="E54" s="80" t="s">
        <v>620</v>
      </c>
      <c r="F54" s="80" t="s">
        <v>621</v>
      </c>
      <c r="G54" s="80">
        <v>2062.26</v>
      </c>
      <c r="H54" s="81" t="s">
        <v>551</v>
      </c>
      <c r="I54" s="82">
        <v>69196</v>
      </c>
      <c r="J54" s="80">
        <v>21928</v>
      </c>
      <c r="K54" s="80" t="s">
        <v>622</v>
      </c>
      <c r="L54" s="80" t="str">
        <f>IF(5.788*2062.26=0," ",TEXT(,ROUND((5.788*2062.26*3.71),2)))</f>
        <v>44283,9</v>
      </c>
      <c r="M54" s="80" t="s">
        <v>623</v>
      </c>
      <c r="N54" s="80" t="s">
        <v>624</v>
      </c>
    </row>
    <row r="55" spans="1:14" ht="120">
      <c r="A55" s="78">
        <v>13</v>
      </c>
      <c r="B55" s="79" t="s">
        <v>555</v>
      </c>
      <c r="C55" s="79" t="s">
        <v>625</v>
      </c>
      <c r="D55" s="78">
        <v>2.523</v>
      </c>
      <c r="E55" s="80" t="s">
        <v>626</v>
      </c>
      <c r="F55" s="80">
        <v>41.89</v>
      </c>
      <c r="G55" s="80">
        <v>2189</v>
      </c>
      <c r="H55" s="81" t="s">
        <v>558</v>
      </c>
      <c r="I55" s="82">
        <v>28785</v>
      </c>
      <c r="J55" s="80">
        <v>8998</v>
      </c>
      <c r="K55" s="80">
        <v>1174</v>
      </c>
      <c r="L55" s="80" t="str">
        <f>IF(2.523*2189=0," ",TEXT(,ROUND((2.523*2189*3.37),2)))</f>
        <v>18611,99</v>
      </c>
      <c r="M55" s="80">
        <v>25.88</v>
      </c>
      <c r="N55" s="80">
        <v>65.3</v>
      </c>
    </row>
    <row r="56" spans="1:14" ht="60">
      <c r="A56" s="78">
        <v>14</v>
      </c>
      <c r="B56" s="79" t="s">
        <v>627</v>
      </c>
      <c r="C56" s="79" t="s">
        <v>628</v>
      </c>
      <c r="D56" s="78">
        <v>1.371</v>
      </c>
      <c r="E56" s="80" t="s">
        <v>629</v>
      </c>
      <c r="F56" s="80" t="s">
        <v>630</v>
      </c>
      <c r="G56" s="80">
        <v>2198.68</v>
      </c>
      <c r="H56" s="81" t="s">
        <v>631</v>
      </c>
      <c r="I56" s="82">
        <v>22865</v>
      </c>
      <c r="J56" s="80">
        <v>5692</v>
      </c>
      <c r="K56" s="80" t="s">
        <v>632</v>
      </c>
      <c r="L56" s="80" t="str">
        <f>IF(1.371*2198.68=0," ",TEXT(,ROUND((1.371*2198.68*5.51),2)))</f>
        <v>16609,29</v>
      </c>
      <c r="M56" s="80" t="s">
        <v>633</v>
      </c>
      <c r="N56" s="80" t="s">
        <v>634</v>
      </c>
    </row>
    <row r="57" spans="1:14" ht="72">
      <c r="A57" s="78">
        <v>15</v>
      </c>
      <c r="B57" s="79" t="s">
        <v>635</v>
      </c>
      <c r="C57" s="79" t="s">
        <v>636</v>
      </c>
      <c r="D57" s="78">
        <v>3.415</v>
      </c>
      <c r="E57" s="80" t="s">
        <v>637</v>
      </c>
      <c r="F57" s="80" t="s">
        <v>638</v>
      </c>
      <c r="G57" s="80">
        <v>1570.73</v>
      </c>
      <c r="H57" s="81" t="s">
        <v>639</v>
      </c>
      <c r="I57" s="82">
        <v>38581</v>
      </c>
      <c r="J57" s="80">
        <v>9525</v>
      </c>
      <c r="K57" s="80" t="s">
        <v>640</v>
      </c>
      <c r="L57" s="80" t="str">
        <f>IF(3.415*1570.73=0," ",TEXT(,ROUND((3.415*1570.73*5.25),2)))</f>
        <v>28161,23</v>
      </c>
      <c r="M57" s="80" t="s">
        <v>641</v>
      </c>
      <c r="N57" s="80" t="s">
        <v>642</v>
      </c>
    </row>
    <row r="58" spans="1:14" ht="132">
      <c r="A58" s="78">
        <v>16</v>
      </c>
      <c r="B58" s="79" t="s">
        <v>643</v>
      </c>
      <c r="C58" s="79" t="s">
        <v>644</v>
      </c>
      <c r="D58" s="78">
        <v>0.363</v>
      </c>
      <c r="E58" s="80" t="s">
        <v>645</v>
      </c>
      <c r="F58" s="80">
        <v>99.76</v>
      </c>
      <c r="G58" s="80">
        <v>4013.93</v>
      </c>
      <c r="H58" s="81" t="s">
        <v>646</v>
      </c>
      <c r="I58" s="82">
        <v>18267</v>
      </c>
      <c r="J58" s="80">
        <v>8373</v>
      </c>
      <c r="K58" s="80">
        <v>409</v>
      </c>
      <c r="L58" s="80" t="str">
        <f>IF(0.363*4013.93=0," ",TEXT(,ROUND((0.363*4013.93*6.51),2)))</f>
        <v>9485,44</v>
      </c>
      <c r="M58" s="80">
        <v>164.45</v>
      </c>
      <c r="N58" s="80">
        <v>59.7</v>
      </c>
    </row>
    <row r="59" spans="1:14" ht="72">
      <c r="A59" s="78">
        <v>17</v>
      </c>
      <c r="B59" s="79" t="s">
        <v>647</v>
      </c>
      <c r="C59" s="79" t="s">
        <v>648</v>
      </c>
      <c r="D59" s="78">
        <v>-0.3848</v>
      </c>
      <c r="E59" s="80">
        <v>1784</v>
      </c>
      <c r="F59" s="80"/>
      <c r="G59" s="80">
        <v>1784</v>
      </c>
      <c r="H59" s="81" t="s">
        <v>649</v>
      </c>
      <c r="I59" s="82">
        <v>-6446</v>
      </c>
      <c r="J59" s="80"/>
      <c r="K59" s="80"/>
      <c r="L59" s="80" t="str">
        <f>IF(-0.3848*1784=0," ",TEXT(,ROUND((-0.3848*1784*9.396),2)))</f>
        <v>-6450,2</v>
      </c>
      <c r="M59" s="80"/>
      <c r="N59" s="80"/>
    </row>
    <row r="60" spans="1:14" ht="60">
      <c r="A60" s="78">
        <v>18</v>
      </c>
      <c r="B60" s="79" t="s">
        <v>650</v>
      </c>
      <c r="C60" s="79" t="s">
        <v>651</v>
      </c>
      <c r="D60" s="78">
        <v>0.73</v>
      </c>
      <c r="E60" s="80">
        <v>1492.01</v>
      </c>
      <c r="F60" s="80"/>
      <c r="G60" s="80">
        <v>1492.01</v>
      </c>
      <c r="H60" s="81" t="s">
        <v>652</v>
      </c>
      <c r="I60" s="82">
        <v>4004</v>
      </c>
      <c r="J60" s="80"/>
      <c r="K60" s="80"/>
      <c r="L60" s="80" t="str">
        <f>IF(0.73*1492.01=0," ",TEXT(,ROUND((0.73*1492.01*3.677),2)))</f>
        <v>4004,87</v>
      </c>
      <c r="M60" s="80"/>
      <c r="N60" s="80"/>
    </row>
    <row r="61" spans="1:14" ht="132">
      <c r="A61" s="78">
        <v>19</v>
      </c>
      <c r="B61" s="79" t="s">
        <v>653</v>
      </c>
      <c r="C61" s="79" t="s">
        <v>654</v>
      </c>
      <c r="D61" s="78">
        <v>0.27</v>
      </c>
      <c r="E61" s="80" t="s">
        <v>655</v>
      </c>
      <c r="F61" s="80">
        <v>115.21</v>
      </c>
      <c r="G61" s="80">
        <v>4663.03</v>
      </c>
      <c r="H61" s="81" t="s">
        <v>656</v>
      </c>
      <c r="I61" s="82">
        <v>12517</v>
      </c>
      <c r="J61" s="80">
        <v>2961</v>
      </c>
      <c r="K61" s="80">
        <v>353</v>
      </c>
      <c r="L61" s="80" t="str">
        <f>IF(0.27*4663.03=0," ",TEXT(,ROUND((0.27*4663.03*7.31),2)))</f>
        <v>9203,42</v>
      </c>
      <c r="M61" s="80">
        <v>78.2</v>
      </c>
      <c r="N61" s="80">
        <v>21.11</v>
      </c>
    </row>
    <row r="62" spans="1:14" ht="72">
      <c r="A62" s="78">
        <v>20</v>
      </c>
      <c r="B62" s="79" t="s">
        <v>647</v>
      </c>
      <c r="C62" s="79" t="s">
        <v>648</v>
      </c>
      <c r="D62" s="78">
        <v>-0.4266</v>
      </c>
      <c r="E62" s="80">
        <v>1784</v>
      </c>
      <c r="F62" s="80"/>
      <c r="G62" s="80">
        <v>1784</v>
      </c>
      <c r="H62" s="81" t="s">
        <v>649</v>
      </c>
      <c r="I62" s="82">
        <v>-7150</v>
      </c>
      <c r="J62" s="80"/>
      <c r="K62" s="80"/>
      <c r="L62" s="80" t="str">
        <f>IF(-0.4266*1784=0," ",TEXT(,ROUND((-0.4266*1784*9.396),2)))</f>
        <v>-7150,87</v>
      </c>
      <c r="M62" s="80"/>
      <c r="N62" s="80"/>
    </row>
    <row r="63" spans="1:14" ht="60">
      <c r="A63" s="78">
        <v>21</v>
      </c>
      <c r="B63" s="79" t="s">
        <v>650</v>
      </c>
      <c r="C63" s="79" t="s">
        <v>651</v>
      </c>
      <c r="D63" s="78">
        <v>0.74</v>
      </c>
      <c r="E63" s="80">
        <v>1492.01</v>
      </c>
      <c r="F63" s="80"/>
      <c r="G63" s="80">
        <v>1492.01</v>
      </c>
      <c r="H63" s="81" t="s">
        <v>652</v>
      </c>
      <c r="I63" s="82">
        <v>4059</v>
      </c>
      <c r="J63" s="80"/>
      <c r="K63" s="80"/>
      <c r="L63" s="80" t="str">
        <f>IF(0.74*1492.01=0," ",TEXT(,ROUND((0.74*1492.01*3.677),2)))</f>
        <v>4059,73</v>
      </c>
      <c r="M63" s="80"/>
      <c r="N63" s="80"/>
    </row>
    <row r="64" spans="1:14" ht="120">
      <c r="A64" s="78">
        <v>22</v>
      </c>
      <c r="B64" s="79" t="s">
        <v>657</v>
      </c>
      <c r="C64" s="79" t="s">
        <v>658</v>
      </c>
      <c r="D64" s="78">
        <v>1</v>
      </c>
      <c r="E64" s="80" t="s">
        <v>659</v>
      </c>
      <c r="F64" s="80" t="s">
        <v>660</v>
      </c>
      <c r="G64" s="80">
        <v>300.2</v>
      </c>
      <c r="H64" s="81" t="s">
        <v>661</v>
      </c>
      <c r="I64" s="82">
        <v>2966</v>
      </c>
      <c r="J64" s="80">
        <v>1069</v>
      </c>
      <c r="K64" s="80" t="s">
        <v>662</v>
      </c>
      <c r="L64" s="80" t="str">
        <f>IF(1*300.2=0," ",TEXT(,ROUND((1*300.2*5.3),2)))</f>
        <v>1591,06</v>
      </c>
      <c r="M64" s="80" t="s">
        <v>663</v>
      </c>
      <c r="N64" s="80" t="s">
        <v>663</v>
      </c>
    </row>
    <row r="65" spans="1:14" ht="60">
      <c r="A65" s="78">
        <v>23</v>
      </c>
      <c r="B65" s="79" t="s">
        <v>664</v>
      </c>
      <c r="C65" s="79" t="s">
        <v>665</v>
      </c>
      <c r="D65" s="78">
        <v>1</v>
      </c>
      <c r="E65" s="80">
        <v>13.42</v>
      </c>
      <c r="F65" s="80"/>
      <c r="G65" s="80">
        <v>13.42</v>
      </c>
      <c r="H65" s="81" t="s">
        <v>666</v>
      </c>
      <c r="I65" s="82">
        <v>25</v>
      </c>
      <c r="J65" s="80"/>
      <c r="K65" s="80"/>
      <c r="L65" s="80" t="str">
        <f>IF(1*13.42=0," ",TEXT(,ROUND((1*13.42*1.941),2)))</f>
        <v>26,05</v>
      </c>
      <c r="M65" s="80"/>
      <c r="N65" s="80"/>
    </row>
    <row r="66" spans="1:14" ht="60">
      <c r="A66" s="78">
        <v>24</v>
      </c>
      <c r="B66" s="79" t="s">
        <v>667</v>
      </c>
      <c r="C66" s="79" t="s">
        <v>668</v>
      </c>
      <c r="D66" s="78">
        <v>2</v>
      </c>
      <c r="E66" s="80">
        <v>3.74</v>
      </c>
      <c r="F66" s="80"/>
      <c r="G66" s="80">
        <v>3.74</v>
      </c>
      <c r="H66" s="81" t="s">
        <v>669</v>
      </c>
      <c r="I66" s="82">
        <v>16</v>
      </c>
      <c r="J66" s="80"/>
      <c r="K66" s="80"/>
      <c r="L66" s="80" t="str">
        <f>IF(2*3.74=0," ",TEXT(,ROUND((2*3.74*2.337),2)))</f>
        <v>17,48</v>
      </c>
      <c r="M66" s="80"/>
      <c r="N66" s="80"/>
    </row>
    <row r="67" spans="1:14" ht="180">
      <c r="A67" s="78">
        <v>25</v>
      </c>
      <c r="B67" s="79" t="s">
        <v>670</v>
      </c>
      <c r="C67" s="79" t="s">
        <v>671</v>
      </c>
      <c r="D67" s="78">
        <v>15.292</v>
      </c>
      <c r="E67" s="80" t="s">
        <v>672</v>
      </c>
      <c r="F67" s="80" t="s">
        <v>673</v>
      </c>
      <c r="G67" s="80">
        <v>1.84</v>
      </c>
      <c r="H67" s="81" t="s">
        <v>674</v>
      </c>
      <c r="I67" s="82">
        <v>60546</v>
      </c>
      <c r="J67" s="80">
        <v>35516</v>
      </c>
      <c r="K67" s="80" t="s">
        <v>675</v>
      </c>
      <c r="L67" s="80" t="str">
        <f>IF(15.292*1.84=0," ",TEXT(,ROUND((15.292*1.84*19.16),2)))</f>
        <v>539,11</v>
      </c>
      <c r="M67" s="80" t="s">
        <v>676</v>
      </c>
      <c r="N67" s="80" t="s">
        <v>677</v>
      </c>
    </row>
    <row r="68" spans="1:14" ht="60">
      <c r="A68" s="78">
        <v>26</v>
      </c>
      <c r="B68" s="79" t="s">
        <v>678</v>
      </c>
      <c r="C68" s="79" t="s">
        <v>679</v>
      </c>
      <c r="D68" s="78" t="s">
        <v>680</v>
      </c>
      <c r="E68" s="80">
        <v>18.53</v>
      </c>
      <c r="F68" s="80"/>
      <c r="G68" s="80">
        <v>18.53</v>
      </c>
      <c r="H68" s="81" t="s">
        <v>681</v>
      </c>
      <c r="I68" s="82">
        <v>103967</v>
      </c>
      <c r="J68" s="80"/>
      <c r="K68" s="80"/>
      <c r="L68" s="80" t="str">
        <f>IF(458.76*18.53=0," ",TEXT(,ROUND((458.76*18.53*12.23),2)))</f>
        <v>103965,06</v>
      </c>
      <c r="M68" s="80"/>
      <c r="N68" s="80"/>
    </row>
    <row r="69" spans="1:14" ht="144">
      <c r="A69" s="78">
        <v>27</v>
      </c>
      <c r="B69" s="79" t="s">
        <v>682</v>
      </c>
      <c r="C69" s="79" t="s">
        <v>683</v>
      </c>
      <c r="D69" s="78">
        <v>0.915</v>
      </c>
      <c r="E69" s="80" t="s">
        <v>684</v>
      </c>
      <c r="F69" s="80">
        <v>8.91</v>
      </c>
      <c r="G69" s="80">
        <v>564.84</v>
      </c>
      <c r="H69" s="81" t="s">
        <v>685</v>
      </c>
      <c r="I69" s="82">
        <v>5031</v>
      </c>
      <c r="J69" s="80">
        <v>2221</v>
      </c>
      <c r="K69" s="80">
        <v>80</v>
      </c>
      <c r="L69" s="80" t="str">
        <f>IF(0.915*564.84=0," ",TEXT(,ROUND((0.915*564.84*5.28),2)))</f>
        <v>2728,86</v>
      </c>
      <c r="M69" s="80">
        <v>15.87</v>
      </c>
      <c r="N69" s="80">
        <v>14.52</v>
      </c>
    </row>
    <row r="70" spans="1:14" ht="17.25" customHeight="1">
      <c r="A70" s="93" t="s">
        <v>686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4" ht="72">
      <c r="A71" s="78">
        <v>28</v>
      </c>
      <c r="B71" s="79" t="s">
        <v>687</v>
      </c>
      <c r="C71" s="79" t="s">
        <v>688</v>
      </c>
      <c r="D71" s="78">
        <v>1.434</v>
      </c>
      <c r="E71" s="80" t="s">
        <v>689</v>
      </c>
      <c r="F71" s="80">
        <v>5.23</v>
      </c>
      <c r="G71" s="80">
        <v>883.33</v>
      </c>
      <c r="H71" s="81" t="s">
        <v>690</v>
      </c>
      <c r="I71" s="82">
        <v>7270</v>
      </c>
      <c r="J71" s="80">
        <v>855</v>
      </c>
      <c r="K71" s="80">
        <v>80</v>
      </c>
      <c r="L71" s="80" t="str">
        <f>IF(1.434*883.33=0," ",TEXT(,ROUND((1.434*883.33*5),2)))</f>
        <v>6333,48</v>
      </c>
      <c r="M71" s="80">
        <v>4.52</v>
      </c>
      <c r="N71" s="80">
        <v>6.48</v>
      </c>
    </row>
    <row r="72" spans="1:14" ht="60">
      <c r="A72" s="78">
        <v>29</v>
      </c>
      <c r="B72" s="79" t="s">
        <v>691</v>
      </c>
      <c r="C72" s="79" t="s">
        <v>692</v>
      </c>
      <c r="D72" s="78">
        <v>-164.9</v>
      </c>
      <c r="E72" s="80">
        <v>7.46</v>
      </c>
      <c r="F72" s="80"/>
      <c r="G72" s="80">
        <v>7.46</v>
      </c>
      <c r="H72" s="81" t="s">
        <v>693</v>
      </c>
      <c r="I72" s="82">
        <v>-6149</v>
      </c>
      <c r="J72" s="80"/>
      <c r="K72" s="80"/>
      <c r="L72" s="80" t="str">
        <f>IF(-164.9*7.46=0," ",TEXT(,ROUND((-164.9*7.46*4.999),2)))</f>
        <v>-6149,54</v>
      </c>
      <c r="M72" s="80"/>
      <c r="N72" s="80"/>
    </row>
    <row r="73" spans="1:14" ht="60">
      <c r="A73" s="78">
        <v>30</v>
      </c>
      <c r="B73" s="79" t="s">
        <v>694</v>
      </c>
      <c r="C73" s="79" t="s">
        <v>695</v>
      </c>
      <c r="D73" s="78">
        <v>16.49</v>
      </c>
      <c r="E73" s="80">
        <v>37.5</v>
      </c>
      <c r="F73" s="80"/>
      <c r="G73" s="80">
        <v>37.5</v>
      </c>
      <c r="H73" s="81" t="s">
        <v>696</v>
      </c>
      <c r="I73" s="82">
        <v>3022</v>
      </c>
      <c r="J73" s="80"/>
      <c r="K73" s="80"/>
      <c r="L73" s="80" t="str">
        <f>IF(16.49*37.5=0," ",TEXT(,ROUND((16.49*37.5*4.89),2)))</f>
        <v>3023,85</v>
      </c>
      <c r="M73" s="80"/>
      <c r="N73" s="80"/>
    </row>
    <row r="74" spans="1:14" ht="132">
      <c r="A74" s="78">
        <v>31</v>
      </c>
      <c r="B74" s="79" t="s">
        <v>697</v>
      </c>
      <c r="C74" s="79" t="s">
        <v>698</v>
      </c>
      <c r="D74" s="78">
        <v>4.577</v>
      </c>
      <c r="E74" s="80" t="s">
        <v>699</v>
      </c>
      <c r="F74" s="80" t="s">
        <v>700</v>
      </c>
      <c r="G74" s="80">
        <v>9149.44</v>
      </c>
      <c r="H74" s="81" t="s">
        <v>701</v>
      </c>
      <c r="I74" s="82">
        <v>186896</v>
      </c>
      <c r="J74" s="80">
        <v>28820</v>
      </c>
      <c r="K74" s="80" t="s">
        <v>702</v>
      </c>
      <c r="L74" s="80" t="str">
        <f>IF(4.577*9149.44=0," ",TEXT(,ROUND((4.577*9149.44*3.6),2)))</f>
        <v>150757,15</v>
      </c>
      <c r="M74" s="80" t="s">
        <v>703</v>
      </c>
      <c r="N74" s="80" t="s">
        <v>704</v>
      </c>
    </row>
    <row r="75" spans="1:14" ht="60">
      <c r="A75" s="78">
        <v>32</v>
      </c>
      <c r="B75" s="79" t="s">
        <v>705</v>
      </c>
      <c r="C75" s="79" t="s">
        <v>706</v>
      </c>
      <c r="D75" s="78">
        <v>-558.4</v>
      </c>
      <c r="E75" s="80">
        <v>70.5</v>
      </c>
      <c r="F75" s="80"/>
      <c r="G75" s="80">
        <v>70.5</v>
      </c>
      <c r="H75" s="81" t="s">
        <v>707</v>
      </c>
      <c r="I75" s="82">
        <v>-150303</v>
      </c>
      <c r="J75" s="80"/>
      <c r="K75" s="80"/>
      <c r="L75" s="80" t="str">
        <f>IF(-558.4*70.5=0," ",TEXT(,ROUND((-558.4*70.5*3.818),2)))</f>
        <v>-150303,97</v>
      </c>
      <c r="M75" s="80"/>
      <c r="N75" s="80"/>
    </row>
    <row r="76" spans="1:14" ht="72">
      <c r="A76" s="78">
        <v>33</v>
      </c>
      <c r="B76" s="79" t="s">
        <v>708</v>
      </c>
      <c r="C76" s="79" t="s">
        <v>709</v>
      </c>
      <c r="D76" s="78" t="s">
        <v>710</v>
      </c>
      <c r="E76" s="80">
        <v>10090.38</v>
      </c>
      <c r="F76" s="80"/>
      <c r="G76" s="80">
        <v>10090.38</v>
      </c>
      <c r="H76" s="81" t="s">
        <v>711</v>
      </c>
      <c r="I76" s="82">
        <v>172507</v>
      </c>
      <c r="J76" s="80"/>
      <c r="K76" s="80"/>
      <c r="L76" s="80" t="str">
        <f>IF(3.988856*10090.38=0," ",TEXT(,ROUND((3.988856*10090.38*4.286),2)))</f>
        <v>172507,53</v>
      </c>
      <c r="M76" s="80"/>
      <c r="N76" s="80"/>
    </row>
    <row r="77" spans="1:14" ht="60">
      <c r="A77" s="78">
        <v>34</v>
      </c>
      <c r="B77" s="79" t="s">
        <v>712</v>
      </c>
      <c r="C77" s="79" t="s">
        <v>713</v>
      </c>
      <c r="D77" s="78">
        <v>27.2</v>
      </c>
      <c r="E77" s="80">
        <v>23.15</v>
      </c>
      <c r="F77" s="80"/>
      <c r="G77" s="80">
        <v>23.15</v>
      </c>
      <c r="H77" s="81" t="s">
        <v>714</v>
      </c>
      <c r="I77" s="82">
        <v>952</v>
      </c>
      <c r="J77" s="80"/>
      <c r="K77" s="80"/>
      <c r="L77" s="80" t="str">
        <f>IF(27.2*23.15=0," ",TEXT(,ROUND((27.2*23.15*1.511),2)))</f>
        <v>951,45</v>
      </c>
      <c r="M77" s="80"/>
      <c r="N77" s="80"/>
    </row>
    <row r="78" spans="1:14" ht="120">
      <c r="A78" s="78">
        <v>35</v>
      </c>
      <c r="B78" s="79" t="s">
        <v>715</v>
      </c>
      <c r="C78" s="79" t="s">
        <v>0</v>
      </c>
      <c r="D78" s="78">
        <v>0.83</v>
      </c>
      <c r="E78" s="80" t="s">
        <v>1</v>
      </c>
      <c r="F78" s="80">
        <v>0.69</v>
      </c>
      <c r="G78" s="80"/>
      <c r="H78" s="81" t="s">
        <v>2</v>
      </c>
      <c r="I78" s="82">
        <v>49</v>
      </c>
      <c r="J78" s="80">
        <v>49</v>
      </c>
      <c r="K78" s="80"/>
      <c r="L78" s="80" t="str">
        <f>IF(0.83*0=0," ",TEXT(,ROUND((0.83*0*1),2)))</f>
        <v> </v>
      </c>
      <c r="M78" s="80">
        <v>0.39</v>
      </c>
      <c r="N78" s="80">
        <v>0.32</v>
      </c>
    </row>
    <row r="79" spans="1:14" ht="120">
      <c r="A79" s="78">
        <v>36</v>
      </c>
      <c r="B79" s="79" t="s">
        <v>3</v>
      </c>
      <c r="C79" s="79" t="s">
        <v>4</v>
      </c>
      <c r="D79" s="78">
        <v>0.4154</v>
      </c>
      <c r="E79" s="80" t="s">
        <v>5</v>
      </c>
      <c r="F79" s="80" t="s">
        <v>6</v>
      </c>
      <c r="G79" s="80">
        <v>8890.58</v>
      </c>
      <c r="H79" s="81" t="s">
        <v>7</v>
      </c>
      <c r="I79" s="82">
        <v>21213</v>
      </c>
      <c r="J79" s="80">
        <v>7551</v>
      </c>
      <c r="K79" s="80" t="s">
        <v>8</v>
      </c>
      <c r="L79" s="80" t="str">
        <f>IF(0.4154*8890.58=0," ",TEXT(,ROUND((0.4154*8890.58*3.66),2)))</f>
        <v>13516,92</v>
      </c>
      <c r="M79" s="80" t="s">
        <v>9</v>
      </c>
      <c r="N79" s="80" t="s">
        <v>10</v>
      </c>
    </row>
    <row r="80" spans="1:14" ht="60">
      <c r="A80" s="78">
        <v>37</v>
      </c>
      <c r="B80" s="79" t="s">
        <v>11</v>
      </c>
      <c r="C80" s="79" t="s">
        <v>12</v>
      </c>
      <c r="D80" s="78">
        <v>-0.3248</v>
      </c>
      <c r="E80" s="80">
        <v>11200</v>
      </c>
      <c r="F80" s="80"/>
      <c r="G80" s="80">
        <v>11200</v>
      </c>
      <c r="H80" s="81" t="s">
        <v>13</v>
      </c>
      <c r="I80" s="82">
        <v>-13326</v>
      </c>
      <c r="J80" s="80"/>
      <c r="K80" s="80"/>
      <c r="L80" s="80" t="str">
        <f>IF(-0.3248*11200=0," ",TEXT(,ROUND((-0.3248*11200*3.663),2)))</f>
        <v>-13325,11</v>
      </c>
      <c r="M80" s="80"/>
      <c r="N80" s="80"/>
    </row>
    <row r="81" spans="1:14" ht="108">
      <c r="A81" s="78">
        <v>38</v>
      </c>
      <c r="B81" s="79" t="s">
        <v>14</v>
      </c>
      <c r="C81" s="79" t="s">
        <v>15</v>
      </c>
      <c r="D81" s="78" t="s">
        <v>16</v>
      </c>
      <c r="E81" s="80">
        <v>11200</v>
      </c>
      <c r="F81" s="80"/>
      <c r="G81" s="80">
        <v>11200</v>
      </c>
      <c r="H81" s="81" t="s">
        <v>17</v>
      </c>
      <c r="I81" s="82">
        <v>15844</v>
      </c>
      <c r="J81" s="80"/>
      <c r="K81" s="80"/>
      <c r="L81" s="80" t="str">
        <f>IF(0.381569*11200=0," ",TEXT(,ROUND((0.381569*11200*3.707),2)))</f>
        <v>15842,13</v>
      </c>
      <c r="M81" s="80"/>
      <c r="N81" s="80"/>
    </row>
    <row r="82" spans="1:14" ht="120">
      <c r="A82" s="78">
        <v>39</v>
      </c>
      <c r="B82" s="79" t="s">
        <v>18</v>
      </c>
      <c r="C82" s="79" t="s">
        <v>19</v>
      </c>
      <c r="D82" s="78">
        <v>0.173</v>
      </c>
      <c r="E82" s="80" t="s">
        <v>5</v>
      </c>
      <c r="F82" s="80" t="s">
        <v>6</v>
      </c>
      <c r="G82" s="80">
        <v>8890.58</v>
      </c>
      <c r="H82" s="81" t="s">
        <v>7</v>
      </c>
      <c r="I82" s="82">
        <v>8830</v>
      </c>
      <c r="J82" s="80">
        <v>3142</v>
      </c>
      <c r="K82" s="80" t="s">
        <v>20</v>
      </c>
      <c r="L82" s="80" t="str">
        <f>IF(0.173*8890.58=0," ",TEXT(,ROUND((0.173*8890.58*3.66),2)))</f>
        <v>5629,34</v>
      </c>
      <c r="M82" s="80" t="s">
        <v>9</v>
      </c>
      <c r="N82" s="80" t="s">
        <v>21</v>
      </c>
    </row>
    <row r="83" spans="1:14" ht="60">
      <c r="A83" s="78">
        <v>40</v>
      </c>
      <c r="B83" s="79" t="s">
        <v>11</v>
      </c>
      <c r="C83" s="79" t="s">
        <v>12</v>
      </c>
      <c r="D83" s="78">
        <v>-0.1353</v>
      </c>
      <c r="E83" s="80">
        <v>11200</v>
      </c>
      <c r="F83" s="80"/>
      <c r="G83" s="80">
        <v>11200</v>
      </c>
      <c r="H83" s="81" t="s">
        <v>13</v>
      </c>
      <c r="I83" s="82">
        <v>-5549</v>
      </c>
      <c r="J83" s="80"/>
      <c r="K83" s="80"/>
      <c r="L83" s="80" t="str">
        <f>IF(-0.1353*11200=0," ",TEXT(,ROUND((-0.1353*11200*3.663),2)))</f>
        <v>-5550,76</v>
      </c>
      <c r="M83" s="80"/>
      <c r="N83" s="80"/>
    </row>
    <row r="84" spans="1:14" ht="72">
      <c r="A84" s="78">
        <v>41</v>
      </c>
      <c r="B84" s="79" t="s">
        <v>14</v>
      </c>
      <c r="C84" s="79" t="s">
        <v>15</v>
      </c>
      <c r="D84" s="78" t="s">
        <v>22</v>
      </c>
      <c r="E84" s="80">
        <v>11200</v>
      </c>
      <c r="F84" s="80"/>
      <c r="G84" s="80">
        <v>11200</v>
      </c>
      <c r="H84" s="81" t="s">
        <v>17</v>
      </c>
      <c r="I84" s="82">
        <v>3114</v>
      </c>
      <c r="J84" s="80"/>
      <c r="K84" s="80"/>
      <c r="L84" s="80" t="str">
        <f>IF(0.075021*11200=0," ",TEXT(,ROUND((0.075021*11200*3.707),2)))</f>
        <v>3114,75</v>
      </c>
      <c r="M84" s="80"/>
      <c r="N84" s="80"/>
    </row>
    <row r="85" spans="1:14" ht="120">
      <c r="A85" s="78">
        <v>42</v>
      </c>
      <c r="B85" s="79" t="s">
        <v>23</v>
      </c>
      <c r="C85" s="79" t="s">
        <v>24</v>
      </c>
      <c r="D85" s="78">
        <v>0.02</v>
      </c>
      <c r="E85" s="80" t="s">
        <v>25</v>
      </c>
      <c r="F85" s="80" t="s">
        <v>26</v>
      </c>
      <c r="G85" s="80">
        <v>81.97</v>
      </c>
      <c r="H85" s="81" t="s">
        <v>27</v>
      </c>
      <c r="I85" s="82">
        <v>201</v>
      </c>
      <c r="J85" s="80">
        <v>165</v>
      </c>
      <c r="K85" s="80">
        <v>25</v>
      </c>
      <c r="L85" s="80" t="str">
        <f>IF(0.02*81.97=0," ",TEXT(,ROUND((0.02*81.97*5.35),2)))</f>
        <v>8,77</v>
      </c>
      <c r="M85" s="80" t="s">
        <v>28</v>
      </c>
      <c r="N85" s="80">
        <v>1.17</v>
      </c>
    </row>
    <row r="86" spans="1:14" ht="72">
      <c r="A86" s="78">
        <v>43</v>
      </c>
      <c r="B86" s="79" t="s">
        <v>29</v>
      </c>
      <c r="C86" s="79" t="s">
        <v>30</v>
      </c>
      <c r="D86" s="78">
        <v>0.02</v>
      </c>
      <c r="E86" s="80">
        <v>11879.76</v>
      </c>
      <c r="F86" s="80"/>
      <c r="G86" s="80">
        <v>11879.76</v>
      </c>
      <c r="H86" s="81" t="s">
        <v>31</v>
      </c>
      <c r="I86" s="82">
        <v>1368</v>
      </c>
      <c r="J86" s="80"/>
      <c r="K86" s="80"/>
      <c r="L86" s="80" t="str">
        <f>IF(0.02*11879.76=0," ",TEXT(,ROUND((0.02*11879.76*5.746),2)))</f>
        <v>1365,22</v>
      </c>
      <c r="M86" s="80"/>
      <c r="N86" s="80"/>
    </row>
    <row r="87" spans="1:14" ht="120">
      <c r="A87" s="78">
        <v>44</v>
      </c>
      <c r="B87" s="79" t="s">
        <v>32</v>
      </c>
      <c r="C87" s="79" t="s">
        <v>33</v>
      </c>
      <c r="D87" s="78">
        <v>0.336</v>
      </c>
      <c r="E87" s="80" t="s">
        <v>34</v>
      </c>
      <c r="F87" s="80" t="s">
        <v>35</v>
      </c>
      <c r="G87" s="80">
        <v>3032.91</v>
      </c>
      <c r="H87" s="81" t="s">
        <v>36</v>
      </c>
      <c r="I87" s="82">
        <v>8422</v>
      </c>
      <c r="J87" s="80">
        <v>378</v>
      </c>
      <c r="K87" s="80" t="s">
        <v>37</v>
      </c>
      <c r="L87" s="80" t="str">
        <f>IF(0.336*3032.91=0," ",TEXT(,ROUND((0.336*3032.91*7.67),2)))</f>
        <v>7816,17</v>
      </c>
      <c r="M87" s="80" t="s">
        <v>38</v>
      </c>
      <c r="N87" s="80" t="s">
        <v>39</v>
      </c>
    </row>
    <row r="88" spans="1:14" ht="108">
      <c r="A88" s="78">
        <v>45</v>
      </c>
      <c r="B88" s="79" t="s">
        <v>40</v>
      </c>
      <c r="C88" s="79" t="s">
        <v>41</v>
      </c>
      <c r="D88" s="78">
        <v>-0.1008</v>
      </c>
      <c r="E88" s="80">
        <v>10045</v>
      </c>
      <c r="F88" s="80"/>
      <c r="G88" s="80">
        <v>10045</v>
      </c>
      <c r="H88" s="81" t="s">
        <v>42</v>
      </c>
      <c r="I88" s="82">
        <v>-7791</v>
      </c>
      <c r="J88" s="80"/>
      <c r="K88" s="80"/>
      <c r="L88" s="80" t="str">
        <f>IF(-0.1008*10045=0," ",TEXT(,ROUND((-0.1008*10045*7.691),2)))</f>
        <v>-7787,41</v>
      </c>
      <c r="M88" s="80"/>
      <c r="N88" s="80"/>
    </row>
    <row r="89" spans="1:14" ht="60">
      <c r="A89" s="78">
        <v>46</v>
      </c>
      <c r="B89" s="79" t="s">
        <v>43</v>
      </c>
      <c r="C89" s="79" t="s">
        <v>44</v>
      </c>
      <c r="D89" s="78">
        <v>33.6</v>
      </c>
      <c r="E89" s="80">
        <v>12.03</v>
      </c>
      <c r="F89" s="80"/>
      <c r="G89" s="80">
        <v>12.03</v>
      </c>
      <c r="H89" s="81" t="s">
        <v>45</v>
      </c>
      <c r="I89" s="82">
        <v>2795</v>
      </c>
      <c r="J89" s="80"/>
      <c r="K89" s="80"/>
      <c r="L89" s="80" t="str">
        <f>IF(33.6*12.03=0," ",TEXT(,ROUND((33.6*12.03*6.918),2)))</f>
        <v>2796,31</v>
      </c>
      <c r="M89" s="80"/>
      <c r="N89" s="80"/>
    </row>
    <row r="90" spans="1:14" ht="120">
      <c r="A90" s="78">
        <v>47</v>
      </c>
      <c r="B90" s="79" t="s">
        <v>32</v>
      </c>
      <c r="C90" s="79" t="s">
        <v>33</v>
      </c>
      <c r="D90" s="78">
        <v>0.7</v>
      </c>
      <c r="E90" s="80" t="s">
        <v>34</v>
      </c>
      <c r="F90" s="80" t="s">
        <v>35</v>
      </c>
      <c r="G90" s="80">
        <v>3032.91</v>
      </c>
      <c r="H90" s="81" t="s">
        <v>36</v>
      </c>
      <c r="I90" s="82">
        <v>17549</v>
      </c>
      <c r="J90" s="80">
        <v>790</v>
      </c>
      <c r="K90" s="80" t="s">
        <v>46</v>
      </c>
      <c r="L90" s="80" t="str">
        <f>IF(0.7*3032.91=0," ",TEXT(,ROUND((0.7*3032.91*7.67),2)))</f>
        <v>16283,69</v>
      </c>
      <c r="M90" s="80" t="s">
        <v>38</v>
      </c>
      <c r="N90" s="80" t="s">
        <v>47</v>
      </c>
    </row>
    <row r="91" spans="1:14" ht="132">
      <c r="A91" s="78">
        <v>48</v>
      </c>
      <c r="B91" s="79" t="s">
        <v>48</v>
      </c>
      <c r="C91" s="79" t="s">
        <v>49</v>
      </c>
      <c r="D91" s="78">
        <v>0.0277</v>
      </c>
      <c r="E91" s="80" t="s">
        <v>50</v>
      </c>
      <c r="F91" s="80" t="s">
        <v>51</v>
      </c>
      <c r="G91" s="80">
        <v>88.5</v>
      </c>
      <c r="H91" s="81" t="s">
        <v>52</v>
      </c>
      <c r="I91" s="82">
        <v>423</v>
      </c>
      <c r="J91" s="80">
        <v>165</v>
      </c>
      <c r="K91" s="80" t="s">
        <v>53</v>
      </c>
      <c r="L91" s="80" t="str">
        <f>IF(0.0277*88.5=0," ",TEXT(,ROUND((0.0277*88.5*5.25),2)))</f>
        <v>12,87</v>
      </c>
      <c r="M91" s="80" t="s">
        <v>54</v>
      </c>
      <c r="N91" s="80" t="s">
        <v>55</v>
      </c>
    </row>
    <row r="92" spans="1:14" ht="108">
      <c r="A92" s="78">
        <v>49</v>
      </c>
      <c r="B92" s="79" t="s">
        <v>40</v>
      </c>
      <c r="C92" s="79" t="s">
        <v>41</v>
      </c>
      <c r="D92" s="78">
        <v>0.0277</v>
      </c>
      <c r="E92" s="80">
        <v>10045</v>
      </c>
      <c r="F92" s="80"/>
      <c r="G92" s="80">
        <v>10045</v>
      </c>
      <c r="H92" s="81" t="s">
        <v>42</v>
      </c>
      <c r="I92" s="82">
        <v>2138</v>
      </c>
      <c r="J92" s="80"/>
      <c r="K92" s="80"/>
      <c r="L92" s="80" t="str">
        <f>IF(0.0277*10045=0," ",TEXT(,ROUND((0.0277*10045*7.691),2)))</f>
        <v>2139,99</v>
      </c>
      <c r="M92" s="80"/>
      <c r="N92" s="80"/>
    </row>
    <row r="93" spans="1:14" ht="84">
      <c r="A93" s="78">
        <v>50</v>
      </c>
      <c r="B93" s="79" t="s">
        <v>56</v>
      </c>
      <c r="C93" s="79" t="s">
        <v>57</v>
      </c>
      <c r="D93" s="78">
        <v>0.0187</v>
      </c>
      <c r="E93" s="80" t="s">
        <v>58</v>
      </c>
      <c r="F93" s="80" t="s">
        <v>59</v>
      </c>
      <c r="G93" s="80">
        <v>562.56</v>
      </c>
      <c r="H93" s="81" t="s">
        <v>60</v>
      </c>
      <c r="I93" s="82">
        <v>70</v>
      </c>
      <c r="J93" s="80">
        <v>16</v>
      </c>
      <c r="K93" s="80"/>
      <c r="L93" s="80" t="str">
        <f>IF(0.0187*562.56=0," ",TEXT(,ROUND((0.0187*562.56*4.94),2)))</f>
        <v>51,97</v>
      </c>
      <c r="M93" s="80" t="s">
        <v>61</v>
      </c>
      <c r="N93" s="80">
        <v>0.14</v>
      </c>
    </row>
    <row r="94" spans="1:14" ht="120">
      <c r="A94" s="78">
        <v>51</v>
      </c>
      <c r="B94" s="79" t="s">
        <v>555</v>
      </c>
      <c r="C94" s="79" t="s">
        <v>62</v>
      </c>
      <c r="D94" s="78">
        <v>0.022</v>
      </c>
      <c r="E94" s="80" t="s">
        <v>626</v>
      </c>
      <c r="F94" s="80">
        <v>41.89</v>
      </c>
      <c r="G94" s="80">
        <v>2189</v>
      </c>
      <c r="H94" s="81" t="s">
        <v>558</v>
      </c>
      <c r="I94" s="82">
        <v>255</v>
      </c>
      <c r="J94" s="80">
        <v>82</v>
      </c>
      <c r="K94" s="80">
        <v>11</v>
      </c>
      <c r="L94" s="80" t="str">
        <f>IF(0.022*2189=0," ",TEXT(,ROUND((0.022*2189*3.37),2)))</f>
        <v>162,29</v>
      </c>
      <c r="M94" s="80">
        <v>25.88</v>
      </c>
      <c r="N94" s="80">
        <v>0.57</v>
      </c>
    </row>
    <row r="95" spans="1:14" ht="24">
      <c r="A95" s="90" t="s">
        <v>593</v>
      </c>
      <c r="B95" s="90"/>
      <c r="C95" s="90"/>
      <c r="D95" s="90"/>
      <c r="E95" s="90"/>
      <c r="F95" s="90"/>
      <c r="G95" s="90"/>
      <c r="H95" s="90"/>
      <c r="I95" s="82">
        <v>103031</v>
      </c>
      <c r="J95" s="80">
        <v>8407</v>
      </c>
      <c r="K95" s="80" t="s">
        <v>63</v>
      </c>
      <c r="L95" s="80">
        <v>91016</v>
      </c>
      <c r="M95" s="80"/>
      <c r="N95" s="80" t="s">
        <v>64</v>
      </c>
    </row>
    <row r="96" spans="1:14" ht="24">
      <c r="A96" s="90" t="s">
        <v>596</v>
      </c>
      <c r="B96" s="90"/>
      <c r="C96" s="90"/>
      <c r="D96" s="90"/>
      <c r="E96" s="90"/>
      <c r="F96" s="90"/>
      <c r="G96" s="90"/>
      <c r="H96" s="90"/>
      <c r="I96" s="82">
        <v>627031</v>
      </c>
      <c r="J96" s="80">
        <v>138296</v>
      </c>
      <c r="K96" s="80" t="s">
        <v>65</v>
      </c>
      <c r="L96" s="80">
        <v>448909</v>
      </c>
      <c r="M96" s="80"/>
      <c r="N96" s="80" t="s">
        <v>64</v>
      </c>
    </row>
    <row r="97" spans="1:14" ht="12">
      <c r="A97" s="90" t="s">
        <v>598</v>
      </c>
      <c r="B97" s="90"/>
      <c r="C97" s="90"/>
      <c r="D97" s="90"/>
      <c r="E97" s="90"/>
      <c r="F97" s="90"/>
      <c r="G97" s="90"/>
      <c r="H97" s="90"/>
      <c r="I97" s="82">
        <v>124818</v>
      </c>
      <c r="J97" s="80"/>
      <c r="K97" s="80"/>
      <c r="L97" s="80"/>
      <c r="M97" s="80"/>
      <c r="N97" s="80"/>
    </row>
    <row r="98" spans="1:14" ht="12">
      <c r="A98" s="90" t="s">
        <v>599</v>
      </c>
      <c r="B98" s="90"/>
      <c r="C98" s="90"/>
      <c r="D98" s="90"/>
      <c r="E98" s="90"/>
      <c r="F98" s="90"/>
      <c r="G98" s="90"/>
      <c r="H98" s="90"/>
      <c r="I98" s="82">
        <v>64104</v>
      </c>
      <c r="J98" s="80"/>
      <c r="K98" s="80"/>
      <c r="L98" s="80"/>
      <c r="M98" s="80"/>
      <c r="N98" s="80"/>
    </row>
    <row r="99" spans="1:14" ht="12">
      <c r="A99" s="92" t="s">
        <v>66</v>
      </c>
      <c r="B99" s="92"/>
      <c r="C99" s="92"/>
      <c r="D99" s="92"/>
      <c r="E99" s="92"/>
      <c r="F99" s="92"/>
      <c r="G99" s="92"/>
      <c r="H99" s="92"/>
      <c r="I99" s="82"/>
      <c r="J99" s="80"/>
      <c r="K99" s="80"/>
      <c r="L99" s="80"/>
      <c r="M99" s="80"/>
      <c r="N99" s="80"/>
    </row>
    <row r="100" spans="1:14" ht="24">
      <c r="A100" s="90" t="s">
        <v>603</v>
      </c>
      <c r="B100" s="90"/>
      <c r="C100" s="90"/>
      <c r="D100" s="90"/>
      <c r="E100" s="90"/>
      <c r="F100" s="90"/>
      <c r="G100" s="90"/>
      <c r="H100" s="90"/>
      <c r="I100" s="82">
        <v>192279</v>
      </c>
      <c r="J100" s="80"/>
      <c r="K100" s="80"/>
      <c r="L100" s="80"/>
      <c r="M100" s="80"/>
      <c r="N100" s="80" t="s">
        <v>67</v>
      </c>
    </row>
    <row r="101" spans="1:14" ht="24">
      <c r="A101" s="90" t="s">
        <v>602</v>
      </c>
      <c r="B101" s="90"/>
      <c r="C101" s="90"/>
      <c r="D101" s="90"/>
      <c r="E101" s="90"/>
      <c r="F101" s="90"/>
      <c r="G101" s="90"/>
      <c r="H101" s="90"/>
      <c r="I101" s="82">
        <v>89445</v>
      </c>
      <c r="J101" s="80"/>
      <c r="K101" s="80"/>
      <c r="L101" s="80"/>
      <c r="M101" s="80"/>
      <c r="N101" s="80" t="s">
        <v>68</v>
      </c>
    </row>
    <row r="102" spans="1:14" ht="12">
      <c r="A102" s="90" t="s">
        <v>69</v>
      </c>
      <c r="B102" s="90"/>
      <c r="C102" s="90"/>
      <c r="D102" s="90"/>
      <c r="E102" s="90"/>
      <c r="F102" s="90"/>
      <c r="G102" s="90"/>
      <c r="H102" s="90"/>
      <c r="I102" s="82">
        <v>117098</v>
      </c>
      <c r="J102" s="80"/>
      <c r="K102" s="80"/>
      <c r="L102" s="80"/>
      <c r="M102" s="80"/>
      <c r="N102" s="80"/>
    </row>
    <row r="103" spans="1:14" ht="24">
      <c r="A103" s="90" t="s">
        <v>70</v>
      </c>
      <c r="B103" s="90"/>
      <c r="C103" s="90"/>
      <c r="D103" s="90"/>
      <c r="E103" s="90"/>
      <c r="F103" s="90"/>
      <c r="G103" s="90"/>
      <c r="H103" s="90"/>
      <c r="I103" s="82">
        <v>106659</v>
      </c>
      <c r="J103" s="80"/>
      <c r="K103" s="80"/>
      <c r="L103" s="80"/>
      <c r="M103" s="80"/>
      <c r="N103" s="80" t="s">
        <v>677</v>
      </c>
    </row>
    <row r="104" spans="1:14" ht="12">
      <c r="A104" s="90" t="s">
        <v>71</v>
      </c>
      <c r="B104" s="90"/>
      <c r="C104" s="90"/>
      <c r="D104" s="90"/>
      <c r="E104" s="90"/>
      <c r="F104" s="90"/>
      <c r="G104" s="90"/>
      <c r="H104" s="90"/>
      <c r="I104" s="82">
        <v>7719</v>
      </c>
      <c r="J104" s="80"/>
      <c r="K104" s="80"/>
      <c r="L104" s="80"/>
      <c r="M104" s="80"/>
      <c r="N104" s="80">
        <v>14.52</v>
      </c>
    </row>
    <row r="105" spans="1:14" ht="24">
      <c r="A105" s="90" t="s">
        <v>72</v>
      </c>
      <c r="B105" s="90"/>
      <c r="C105" s="90"/>
      <c r="D105" s="90"/>
      <c r="E105" s="90"/>
      <c r="F105" s="90"/>
      <c r="G105" s="90"/>
      <c r="H105" s="90"/>
      <c r="I105" s="82">
        <v>301430</v>
      </c>
      <c r="J105" s="80"/>
      <c r="K105" s="80"/>
      <c r="L105" s="80"/>
      <c r="M105" s="80"/>
      <c r="N105" s="80" t="s">
        <v>73</v>
      </c>
    </row>
    <row r="106" spans="1:14" ht="24">
      <c r="A106" s="90" t="s">
        <v>74</v>
      </c>
      <c r="B106" s="90"/>
      <c r="C106" s="90"/>
      <c r="D106" s="90"/>
      <c r="E106" s="90"/>
      <c r="F106" s="90"/>
      <c r="G106" s="90"/>
      <c r="H106" s="90"/>
      <c r="I106" s="82">
        <v>1233</v>
      </c>
      <c r="J106" s="80"/>
      <c r="K106" s="80"/>
      <c r="L106" s="80"/>
      <c r="M106" s="80"/>
      <c r="N106" s="80" t="s">
        <v>75</v>
      </c>
    </row>
    <row r="107" spans="1:14" ht="12">
      <c r="A107" s="90" t="s">
        <v>76</v>
      </c>
      <c r="B107" s="90"/>
      <c r="C107" s="90"/>
      <c r="D107" s="90"/>
      <c r="E107" s="90"/>
      <c r="F107" s="90"/>
      <c r="G107" s="90"/>
      <c r="H107" s="90"/>
      <c r="I107" s="82">
        <v>90</v>
      </c>
      <c r="J107" s="80"/>
      <c r="K107" s="80"/>
      <c r="L107" s="80"/>
      <c r="M107" s="80"/>
      <c r="N107" s="80">
        <v>0.14</v>
      </c>
    </row>
    <row r="108" spans="1:14" ht="24">
      <c r="A108" s="90" t="s">
        <v>609</v>
      </c>
      <c r="B108" s="90"/>
      <c r="C108" s="90"/>
      <c r="D108" s="90"/>
      <c r="E108" s="90"/>
      <c r="F108" s="90"/>
      <c r="G108" s="90"/>
      <c r="H108" s="90"/>
      <c r="I108" s="82">
        <v>815953</v>
      </c>
      <c r="J108" s="80"/>
      <c r="K108" s="80"/>
      <c r="L108" s="80"/>
      <c r="M108" s="80"/>
      <c r="N108" s="80" t="s">
        <v>64</v>
      </c>
    </row>
    <row r="109" spans="1:14" ht="12">
      <c r="A109" s="90" t="s">
        <v>610</v>
      </c>
      <c r="B109" s="90"/>
      <c r="C109" s="90"/>
      <c r="D109" s="90"/>
      <c r="E109" s="90"/>
      <c r="F109" s="90"/>
      <c r="G109" s="90"/>
      <c r="H109" s="90"/>
      <c r="I109" s="82"/>
      <c r="J109" s="80"/>
      <c r="K109" s="80"/>
      <c r="L109" s="80"/>
      <c r="M109" s="80"/>
      <c r="N109" s="80"/>
    </row>
    <row r="110" spans="1:14" ht="12">
      <c r="A110" s="90" t="s">
        <v>611</v>
      </c>
      <c r="B110" s="90"/>
      <c r="C110" s="90"/>
      <c r="D110" s="90"/>
      <c r="E110" s="90"/>
      <c r="F110" s="90"/>
      <c r="G110" s="90"/>
      <c r="H110" s="90"/>
      <c r="I110" s="82">
        <v>448909</v>
      </c>
      <c r="J110" s="80"/>
      <c r="K110" s="80"/>
      <c r="L110" s="80"/>
      <c r="M110" s="80"/>
      <c r="N110" s="80"/>
    </row>
    <row r="111" spans="1:14" ht="12">
      <c r="A111" s="90" t="s">
        <v>612</v>
      </c>
      <c r="B111" s="90"/>
      <c r="C111" s="90"/>
      <c r="D111" s="90"/>
      <c r="E111" s="90"/>
      <c r="F111" s="90"/>
      <c r="G111" s="90"/>
      <c r="H111" s="90"/>
      <c r="I111" s="82">
        <v>39826</v>
      </c>
      <c r="J111" s="80"/>
      <c r="K111" s="80"/>
      <c r="L111" s="80"/>
      <c r="M111" s="80"/>
      <c r="N111" s="80"/>
    </row>
    <row r="112" spans="1:14" ht="12">
      <c r="A112" s="90" t="s">
        <v>613</v>
      </c>
      <c r="B112" s="90"/>
      <c r="C112" s="90"/>
      <c r="D112" s="90"/>
      <c r="E112" s="90"/>
      <c r="F112" s="90"/>
      <c r="G112" s="90"/>
      <c r="H112" s="90"/>
      <c r="I112" s="82">
        <v>140632</v>
      </c>
      <c r="J112" s="80"/>
      <c r="K112" s="80"/>
      <c r="L112" s="80"/>
      <c r="M112" s="80"/>
      <c r="N112" s="80"/>
    </row>
    <row r="113" spans="1:14" ht="12">
      <c r="A113" s="90" t="s">
        <v>614</v>
      </c>
      <c r="B113" s="90"/>
      <c r="C113" s="90"/>
      <c r="D113" s="90"/>
      <c r="E113" s="90"/>
      <c r="F113" s="90"/>
      <c r="G113" s="90"/>
      <c r="H113" s="90"/>
      <c r="I113" s="82">
        <v>124818</v>
      </c>
      <c r="J113" s="80"/>
      <c r="K113" s="80"/>
      <c r="L113" s="80"/>
      <c r="M113" s="80"/>
      <c r="N113" s="80"/>
    </row>
    <row r="114" spans="1:14" ht="12">
      <c r="A114" s="90" t="s">
        <v>615</v>
      </c>
      <c r="B114" s="90"/>
      <c r="C114" s="90"/>
      <c r="D114" s="90"/>
      <c r="E114" s="90"/>
      <c r="F114" s="90"/>
      <c r="G114" s="90"/>
      <c r="H114" s="90"/>
      <c r="I114" s="82">
        <v>64104</v>
      </c>
      <c r="J114" s="80"/>
      <c r="K114" s="80"/>
      <c r="L114" s="80"/>
      <c r="M114" s="80"/>
      <c r="N114" s="80"/>
    </row>
    <row r="115" spans="1:14" ht="24">
      <c r="A115" s="92" t="s">
        <v>77</v>
      </c>
      <c r="B115" s="92"/>
      <c r="C115" s="92"/>
      <c r="D115" s="92"/>
      <c r="E115" s="92"/>
      <c r="F115" s="92"/>
      <c r="G115" s="92"/>
      <c r="H115" s="92"/>
      <c r="I115" s="82">
        <v>815953</v>
      </c>
      <c r="J115" s="80"/>
      <c r="K115" s="80"/>
      <c r="L115" s="80"/>
      <c r="M115" s="80"/>
      <c r="N115" s="80" t="s">
        <v>64</v>
      </c>
    </row>
    <row r="116" spans="1:14" ht="17.25" customHeight="1">
      <c r="A116" s="92" t="s">
        <v>78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1:14" ht="144">
      <c r="A117" s="78">
        <v>52</v>
      </c>
      <c r="B117" s="79" t="s">
        <v>79</v>
      </c>
      <c r="C117" s="79" t="s">
        <v>80</v>
      </c>
      <c r="D117" s="78" t="s">
        <v>81</v>
      </c>
      <c r="E117" s="80" t="s">
        <v>82</v>
      </c>
      <c r="F117" s="80" t="s">
        <v>83</v>
      </c>
      <c r="G117" s="80">
        <v>7166.84</v>
      </c>
      <c r="H117" s="81" t="s">
        <v>84</v>
      </c>
      <c r="I117" s="82">
        <v>9830</v>
      </c>
      <c r="J117" s="80">
        <v>3323</v>
      </c>
      <c r="K117" s="80">
        <v>23</v>
      </c>
      <c r="L117" s="80" t="str">
        <f>IF(0.288*7166.84=0," ",TEXT(,ROUND((0.288*7166.84*3.14),2)))</f>
        <v>6481,12</v>
      </c>
      <c r="M117" s="80" t="s">
        <v>85</v>
      </c>
      <c r="N117" s="80" t="s">
        <v>86</v>
      </c>
    </row>
    <row r="118" spans="1:14" ht="156">
      <c r="A118" s="78">
        <v>53</v>
      </c>
      <c r="B118" s="79" t="s">
        <v>87</v>
      </c>
      <c r="C118" s="79" t="s">
        <v>88</v>
      </c>
      <c r="D118" s="78">
        <v>2.1</v>
      </c>
      <c r="E118" s="80" t="s">
        <v>89</v>
      </c>
      <c r="F118" s="80">
        <v>71.44</v>
      </c>
      <c r="G118" s="80">
        <v>1320.96</v>
      </c>
      <c r="H118" s="81" t="s">
        <v>90</v>
      </c>
      <c r="I118" s="82">
        <v>18574</v>
      </c>
      <c r="J118" s="80">
        <v>7304</v>
      </c>
      <c r="K118" s="80">
        <v>1700</v>
      </c>
      <c r="L118" s="80" t="str">
        <f>IF(2.1*1320.96=0," ",TEXT(,ROUND((2.1*1320.96*3.45),2)))</f>
        <v>9570,36</v>
      </c>
      <c r="M118" s="80">
        <v>21.68</v>
      </c>
      <c r="N118" s="80">
        <v>45.53</v>
      </c>
    </row>
    <row r="119" spans="1:14" ht="60">
      <c r="A119" s="78">
        <v>54</v>
      </c>
      <c r="B119" s="79" t="s">
        <v>91</v>
      </c>
      <c r="C119" s="79" t="s">
        <v>92</v>
      </c>
      <c r="D119" s="78">
        <v>-3.234</v>
      </c>
      <c r="E119" s="80">
        <v>542.4</v>
      </c>
      <c r="F119" s="80"/>
      <c r="G119" s="80">
        <v>542.4</v>
      </c>
      <c r="H119" s="81" t="s">
        <v>93</v>
      </c>
      <c r="I119" s="82">
        <v>-6004</v>
      </c>
      <c r="J119" s="80"/>
      <c r="K119" s="80"/>
      <c r="L119" s="80" t="str">
        <f>IF(-3.234*542.4=0," ",TEXT(,ROUND((-3.234*542.4*3.423),2)))</f>
        <v>-6004,36</v>
      </c>
      <c r="M119" s="80"/>
      <c r="N119" s="80"/>
    </row>
    <row r="120" spans="1:14" ht="60">
      <c r="A120" s="78">
        <v>55</v>
      </c>
      <c r="B120" s="79" t="s">
        <v>94</v>
      </c>
      <c r="C120" s="79" t="s">
        <v>95</v>
      </c>
      <c r="D120" s="78" t="s">
        <v>96</v>
      </c>
      <c r="E120" s="80">
        <v>520.94</v>
      </c>
      <c r="F120" s="80"/>
      <c r="G120" s="80">
        <v>520.94</v>
      </c>
      <c r="H120" s="81" t="s">
        <v>97</v>
      </c>
      <c r="I120" s="82">
        <v>2277</v>
      </c>
      <c r="J120" s="80"/>
      <c r="K120" s="80"/>
      <c r="L120" s="80" t="str">
        <f>IF(2.163*520.94=0," ",TEXT(,ROUND((2.163*520.94*2.02),2)))</f>
        <v>2276,12</v>
      </c>
      <c r="M120" s="80"/>
      <c r="N120" s="80"/>
    </row>
    <row r="121" spans="1:14" ht="144">
      <c r="A121" s="78">
        <v>56</v>
      </c>
      <c r="B121" s="79" t="s">
        <v>98</v>
      </c>
      <c r="C121" s="79" t="s">
        <v>99</v>
      </c>
      <c r="D121" s="78">
        <v>0.34</v>
      </c>
      <c r="E121" s="80" t="s">
        <v>100</v>
      </c>
      <c r="F121" s="80">
        <v>63.24</v>
      </c>
      <c r="G121" s="80">
        <v>1404.64</v>
      </c>
      <c r="H121" s="81" t="s">
        <v>101</v>
      </c>
      <c r="I121" s="82">
        <v>6647</v>
      </c>
      <c r="J121" s="80">
        <v>1777</v>
      </c>
      <c r="K121" s="80">
        <v>229</v>
      </c>
      <c r="L121" s="80" t="str">
        <f>IF(0.34*1404.64=0," ",TEXT(,ROUND((0.34*1404.64*9.73),2)))</f>
        <v>4646,83</v>
      </c>
      <c r="M121" s="80">
        <v>36.78</v>
      </c>
      <c r="N121" s="80">
        <v>12.51</v>
      </c>
    </row>
    <row r="122" spans="1:14" ht="48">
      <c r="A122" s="78">
        <v>57</v>
      </c>
      <c r="B122" s="79" t="s">
        <v>102</v>
      </c>
      <c r="C122" s="79" t="s">
        <v>103</v>
      </c>
      <c r="D122" s="78">
        <v>-0.0391</v>
      </c>
      <c r="E122" s="80">
        <v>7800</v>
      </c>
      <c r="F122" s="80"/>
      <c r="G122" s="80">
        <v>7800</v>
      </c>
      <c r="H122" s="81" t="s">
        <v>104</v>
      </c>
      <c r="I122" s="82">
        <v>-3651</v>
      </c>
      <c r="J122" s="80"/>
      <c r="K122" s="80"/>
      <c r="L122" s="80" t="str">
        <f>IF(-0.0391*7800=0," ",TEXT(,ROUND((-0.0391*7800*11.969),2)))</f>
        <v>-3650,31</v>
      </c>
      <c r="M122" s="80"/>
      <c r="N122" s="80"/>
    </row>
    <row r="123" spans="1:14" ht="60">
      <c r="A123" s="78">
        <v>58</v>
      </c>
      <c r="B123" s="79" t="s">
        <v>105</v>
      </c>
      <c r="C123" s="79" t="s">
        <v>106</v>
      </c>
      <c r="D123" s="78">
        <v>0.414</v>
      </c>
      <c r="E123" s="80">
        <v>27.5</v>
      </c>
      <c r="F123" s="80"/>
      <c r="G123" s="80">
        <v>27.5</v>
      </c>
      <c r="H123" s="81" t="s">
        <v>107</v>
      </c>
      <c r="I123" s="82">
        <v>54</v>
      </c>
      <c r="J123" s="80"/>
      <c r="K123" s="80"/>
      <c r="L123" s="80" t="str">
        <f>IF(0.414*27.5=0," ",TEXT(,ROUND((0.414*27.5*4.95),2)))</f>
        <v>56,36</v>
      </c>
      <c r="M123" s="80"/>
      <c r="N123" s="80"/>
    </row>
    <row r="124" spans="1:14" ht="60">
      <c r="A124" s="78">
        <v>59</v>
      </c>
      <c r="B124" s="79" t="s">
        <v>108</v>
      </c>
      <c r="C124" s="79" t="s">
        <v>109</v>
      </c>
      <c r="D124" s="78">
        <v>0.03496</v>
      </c>
      <c r="E124" s="80">
        <v>22020</v>
      </c>
      <c r="F124" s="80"/>
      <c r="G124" s="80">
        <v>22020</v>
      </c>
      <c r="H124" s="81" t="s">
        <v>110</v>
      </c>
      <c r="I124" s="82">
        <v>1183</v>
      </c>
      <c r="J124" s="80"/>
      <c r="K124" s="80"/>
      <c r="L124" s="80" t="str">
        <f>IF(0.03496*22020=0," ",TEXT(,ROUND((0.03496*22020*1.537),2)))</f>
        <v>1183,21</v>
      </c>
      <c r="M124" s="80"/>
      <c r="N124" s="80"/>
    </row>
    <row r="125" spans="1:14" ht="144">
      <c r="A125" s="78">
        <v>60</v>
      </c>
      <c r="B125" s="79" t="s">
        <v>111</v>
      </c>
      <c r="C125" s="79" t="s">
        <v>112</v>
      </c>
      <c r="D125" s="78">
        <v>0.111</v>
      </c>
      <c r="E125" s="80" t="s">
        <v>113</v>
      </c>
      <c r="F125" s="80">
        <v>1211.33</v>
      </c>
      <c r="G125" s="80">
        <v>12722.28</v>
      </c>
      <c r="H125" s="81" t="s">
        <v>114</v>
      </c>
      <c r="I125" s="82">
        <v>9841</v>
      </c>
      <c r="J125" s="80">
        <v>3043</v>
      </c>
      <c r="K125" s="80">
        <v>1047</v>
      </c>
      <c r="L125" s="80" t="str">
        <f>IF(0.111*12722.28=0," ",TEXT(,ROUND((0.111*12722.28*4.07),2)))</f>
        <v>5747,54</v>
      </c>
      <c r="M125" s="80">
        <v>170.8</v>
      </c>
      <c r="N125" s="80">
        <v>18.96</v>
      </c>
    </row>
    <row r="126" spans="1:14" ht="24">
      <c r="A126" s="90" t="s">
        <v>593</v>
      </c>
      <c r="B126" s="90"/>
      <c r="C126" s="90"/>
      <c r="D126" s="90"/>
      <c r="E126" s="90"/>
      <c r="F126" s="90"/>
      <c r="G126" s="90"/>
      <c r="H126" s="90"/>
      <c r="I126" s="82">
        <v>7825</v>
      </c>
      <c r="J126" s="80">
        <v>939</v>
      </c>
      <c r="K126" s="80">
        <v>308</v>
      </c>
      <c r="L126" s="80">
        <v>6578</v>
      </c>
      <c r="M126" s="80"/>
      <c r="N126" s="80" t="s">
        <v>115</v>
      </c>
    </row>
    <row r="127" spans="1:14" ht="24">
      <c r="A127" s="90" t="s">
        <v>596</v>
      </c>
      <c r="B127" s="90"/>
      <c r="C127" s="90"/>
      <c r="D127" s="90"/>
      <c r="E127" s="90"/>
      <c r="F127" s="90"/>
      <c r="G127" s="90"/>
      <c r="H127" s="90"/>
      <c r="I127" s="82">
        <v>38751</v>
      </c>
      <c r="J127" s="80">
        <v>15447</v>
      </c>
      <c r="K127" s="80">
        <v>2999</v>
      </c>
      <c r="L127" s="80">
        <v>20305</v>
      </c>
      <c r="M127" s="80"/>
      <c r="N127" s="80" t="s">
        <v>115</v>
      </c>
    </row>
    <row r="128" spans="1:14" ht="12">
      <c r="A128" s="90" t="s">
        <v>598</v>
      </c>
      <c r="B128" s="90"/>
      <c r="C128" s="90"/>
      <c r="D128" s="90"/>
      <c r="E128" s="90"/>
      <c r="F128" s="90"/>
      <c r="G128" s="90"/>
      <c r="H128" s="90"/>
      <c r="I128" s="82">
        <v>43760</v>
      </c>
      <c r="J128" s="80"/>
      <c r="K128" s="80"/>
      <c r="L128" s="80"/>
      <c r="M128" s="80"/>
      <c r="N128" s="80"/>
    </row>
    <row r="129" spans="1:14" ht="12">
      <c r="A129" s="90" t="s">
        <v>599</v>
      </c>
      <c r="B129" s="90"/>
      <c r="C129" s="90"/>
      <c r="D129" s="90"/>
      <c r="E129" s="90"/>
      <c r="F129" s="90"/>
      <c r="G129" s="90"/>
      <c r="H129" s="90"/>
      <c r="I129" s="82">
        <v>7681</v>
      </c>
      <c r="J129" s="80"/>
      <c r="K129" s="80"/>
      <c r="L129" s="80"/>
      <c r="M129" s="80"/>
      <c r="N129" s="80"/>
    </row>
    <row r="130" spans="1:14" ht="12">
      <c r="A130" s="92" t="s">
        <v>116</v>
      </c>
      <c r="B130" s="92"/>
      <c r="C130" s="92"/>
      <c r="D130" s="92"/>
      <c r="E130" s="92"/>
      <c r="F130" s="92"/>
      <c r="G130" s="92"/>
      <c r="H130" s="92"/>
      <c r="I130" s="82"/>
      <c r="J130" s="80"/>
      <c r="K130" s="80"/>
      <c r="L130" s="80"/>
      <c r="M130" s="80"/>
      <c r="N130" s="80"/>
    </row>
    <row r="131" spans="1:14" ht="24" customHeight="1">
      <c r="A131" s="90" t="s">
        <v>117</v>
      </c>
      <c r="B131" s="90"/>
      <c r="C131" s="90"/>
      <c r="D131" s="90"/>
      <c r="E131" s="90"/>
      <c r="F131" s="90"/>
      <c r="G131" s="90"/>
      <c r="H131" s="90"/>
      <c r="I131" s="82">
        <v>45752</v>
      </c>
      <c r="J131" s="80"/>
      <c r="K131" s="80"/>
      <c r="L131" s="80"/>
      <c r="M131" s="80"/>
      <c r="N131" s="80" t="s">
        <v>86</v>
      </c>
    </row>
    <row r="132" spans="1:14" ht="12">
      <c r="A132" s="90" t="s">
        <v>70</v>
      </c>
      <c r="B132" s="90"/>
      <c r="C132" s="90"/>
      <c r="D132" s="90"/>
      <c r="E132" s="90"/>
      <c r="F132" s="90"/>
      <c r="G132" s="90"/>
      <c r="H132" s="90"/>
      <c r="I132" s="82">
        <v>50581</v>
      </c>
      <c r="J132" s="80"/>
      <c r="K132" s="80"/>
      <c r="L132" s="80"/>
      <c r="M132" s="80"/>
      <c r="N132" s="80">
        <v>77</v>
      </c>
    </row>
    <row r="133" spans="1:14" ht="12">
      <c r="A133" s="90" t="s">
        <v>69</v>
      </c>
      <c r="B133" s="90"/>
      <c r="C133" s="90"/>
      <c r="D133" s="90"/>
      <c r="E133" s="90"/>
      <c r="F133" s="90"/>
      <c r="G133" s="90"/>
      <c r="H133" s="90"/>
      <c r="I133" s="82">
        <v>-6141</v>
      </c>
      <c r="J133" s="80"/>
      <c r="K133" s="80"/>
      <c r="L133" s="80"/>
      <c r="M133" s="80"/>
      <c r="N133" s="80"/>
    </row>
    <row r="134" spans="1:14" ht="24">
      <c r="A134" s="90" t="s">
        <v>609</v>
      </c>
      <c r="B134" s="90"/>
      <c r="C134" s="90"/>
      <c r="D134" s="90"/>
      <c r="E134" s="90"/>
      <c r="F134" s="90"/>
      <c r="G134" s="90"/>
      <c r="H134" s="90"/>
      <c r="I134" s="82">
        <v>90192</v>
      </c>
      <c r="J134" s="80"/>
      <c r="K134" s="80"/>
      <c r="L134" s="80"/>
      <c r="M134" s="80"/>
      <c r="N134" s="80" t="s">
        <v>115</v>
      </c>
    </row>
    <row r="135" spans="1:14" ht="12">
      <c r="A135" s="90" t="s">
        <v>610</v>
      </c>
      <c r="B135" s="90"/>
      <c r="C135" s="90"/>
      <c r="D135" s="90"/>
      <c r="E135" s="90"/>
      <c r="F135" s="90"/>
      <c r="G135" s="90"/>
      <c r="H135" s="90"/>
      <c r="I135" s="82"/>
      <c r="J135" s="80"/>
      <c r="K135" s="80"/>
      <c r="L135" s="80"/>
      <c r="M135" s="80"/>
      <c r="N135" s="80"/>
    </row>
    <row r="136" spans="1:14" ht="12">
      <c r="A136" s="90" t="s">
        <v>611</v>
      </c>
      <c r="B136" s="90"/>
      <c r="C136" s="90"/>
      <c r="D136" s="90"/>
      <c r="E136" s="90"/>
      <c r="F136" s="90"/>
      <c r="G136" s="90"/>
      <c r="H136" s="90"/>
      <c r="I136" s="82">
        <v>20305</v>
      </c>
      <c r="J136" s="80"/>
      <c r="K136" s="80"/>
      <c r="L136" s="80"/>
      <c r="M136" s="80"/>
      <c r="N136" s="80"/>
    </row>
    <row r="137" spans="1:14" ht="12">
      <c r="A137" s="90" t="s">
        <v>612</v>
      </c>
      <c r="B137" s="90"/>
      <c r="C137" s="90"/>
      <c r="D137" s="90"/>
      <c r="E137" s="90"/>
      <c r="F137" s="90"/>
      <c r="G137" s="90"/>
      <c r="H137" s="90"/>
      <c r="I137" s="82">
        <v>2999</v>
      </c>
      <c r="J137" s="80"/>
      <c r="K137" s="80"/>
      <c r="L137" s="80"/>
      <c r="M137" s="80"/>
      <c r="N137" s="80"/>
    </row>
    <row r="138" spans="1:14" ht="12">
      <c r="A138" s="90" t="s">
        <v>613</v>
      </c>
      <c r="B138" s="90"/>
      <c r="C138" s="90"/>
      <c r="D138" s="90"/>
      <c r="E138" s="90"/>
      <c r="F138" s="90"/>
      <c r="G138" s="90"/>
      <c r="H138" s="90"/>
      <c r="I138" s="82">
        <v>15447</v>
      </c>
      <c r="J138" s="80"/>
      <c r="K138" s="80"/>
      <c r="L138" s="80"/>
      <c r="M138" s="80"/>
      <c r="N138" s="80"/>
    </row>
    <row r="139" spans="1:14" ht="12">
      <c r="A139" s="90" t="s">
        <v>614</v>
      </c>
      <c r="B139" s="90"/>
      <c r="C139" s="90"/>
      <c r="D139" s="90"/>
      <c r="E139" s="90"/>
      <c r="F139" s="90"/>
      <c r="G139" s="90"/>
      <c r="H139" s="90"/>
      <c r="I139" s="82">
        <v>43760</v>
      </c>
      <c r="J139" s="80"/>
      <c r="K139" s="80"/>
      <c r="L139" s="80"/>
      <c r="M139" s="80"/>
      <c r="N139" s="80"/>
    </row>
    <row r="140" spans="1:14" ht="12">
      <c r="A140" s="90" t="s">
        <v>615</v>
      </c>
      <c r="B140" s="90"/>
      <c r="C140" s="90"/>
      <c r="D140" s="90"/>
      <c r="E140" s="90"/>
      <c r="F140" s="90"/>
      <c r="G140" s="90"/>
      <c r="H140" s="90"/>
      <c r="I140" s="82">
        <v>7681</v>
      </c>
      <c r="J140" s="80"/>
      <c r="K140" s="80"/>
      <c r="L140" s="80"/>
      <c r="M140" s="80"/>
      <c r="N140" s="80"/>
    </row>
    <row r="141" spans="1:14" ht="24">
      <c r="A141" s="92" t="s">
        <v>118</v>
      </c>
      <c r="B141" s="92"/>
      <c r="C141" s="92"/>
      <c r="D141" s="92"/>
      <c r="E141" s="92"/>
      <c r="F141" s="92"/>
      <c r="G141" s="92"/>
      <c r="H141" s="92"/>
      <c r="I141" s="82">
        <v>90192</v>
      </c>
      <c r="J141" s="80"/>
      <c r="K141" s="80"/>
      <c r="L141" s="80"/>
      <c r="M141" s="80"/>
      <c r="N141" s="80" t="s">
        <v>115</v>
      </c>
    </row>
    <row r="142" spans="1:14" ht="17.25" customHeight="1">
      <c r="A142" s="92" t="s">
        <v>119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</row>
    <row r="143" spans="1:14" ht="72">
      <c r="A143" s="78">
        <v>61</v>
      </c>
      <c r="B143" s="79" t="s">
        <v>687</v>
      </c>
      <c r="C143" s="79" t="s">
        <v>120</v>
      </c>
      <c r="D143" s="78" t="s">
        <v>121</v>
      </c>
      <c r="E143" s="80" t="s">
        <v>689</v>
      </c>
      <c r="F143" s="80">
        <v>5.23</v>
      </c>
      <c r="G143" s="80">
        <v>883.33</v>
      </c>
      <c r="H143" s="81" t="s">
        <v>690</v>
      </c>
      <c r="I143" s="82">
        <v>34514</v>
      </c>
      <c r="J143" s="80">
        <v>4063</v>
      </c>
      <c r="K143" s="80">
        <v>411</v>
      </c>
      <c r="L143" s="80" t="str">
        <f>IF(6.803*883.33=0," ",TEXT(,ROUND((6.803*883.33*5),2)))</f>
        <v>30046,47</v>
      </c>
      <c r="M143" s="80">
        <v>4.52</v>
      </c>
      <c r="N143" s="80">
        <v>30.75</v>
      </c>
    </row>
    <row r="144" spans="1:14" ht="60">
      <c r="A144" s="78">
        <v>62</v>
      </c>
      <c r="B144" s="79" t="s">
        <v>691</v>
      </c>
      <c r="C144" s="79" t="s">
        <v>692</v>
      </c>
      <c r="D144" s="78">
        <v>-782.3</v>
      </c>
      <c r="E144" s="80">
        <v>7.46</v>
      </c>
      <c r="F144" s="80"/>
      <c r="G144" s="80">
        <v>7.46</v>
      </c>
      <c r="H144" s="81" t="s">
        <v>693</v>
      </c>
      <c r="I144" s="82">
        <v>-29174</v>
      </c>
      <c r="J144" s="80"/>
      <c r="K144" s="80"/>
      <c r="L144" s="80" t="str">
        <f>IF(-782.3*7.46=0," ",TEXT(,ROUND((-782.3*7.46*4.999),2)))</f>
        <v>-29173,95</v>
      </c>
      <c r="M144" s="80"/>
      <c r="N144" s="80"/>
    </row>
    <row r="145" spans="1:14" ht="60">
      <c r="A145" s="78">
        <v>63</v>
      </c>
      <c r="B145" s="79" t="s">
        <v>105</v>
      </c>
      <c r="C145" s="79" t="s">
        <v>106</v>
      </c>
      <c r="D145" s="78" t="s">
        <v>122</v>
      </c>
      <c r="E145" s="80">
        <v>27.5</v>
      </c>
      <c r="F145" s="80"/>
      <c r="G145" s="80">
        <v>27.5</v>
      </c>
      <c r="H145" s="81" t="s">
        <v>107</v>
      </c>
      <c r="I145" s="82">
        <v>5326</v>
      </c>
      <c r="J145" s="80"/>
      <c r="K145" s="80"/>
      <c r="L145" s="80" t="str">
        <f>IF(39.11725*27.5=0," ",TEXT(,ROUND((39.11725*27.5*4.95),2)))</f>
        <v>5324,84</v>
      </c>
      <c r="M145" s="80"/>
      <c r="N145" s="80"/>
    </row>
    <row r="146" spans="1:14" ht="60">
      <c r="A146" s="78">
        <v>64</v>
      </c>
      <c r="B146" s="79" t="s">
        <v>123</v>
      </c>
      <c r="C146" s="79" t="s">
        <v>124</v>
      </c>
      <c r="D146" s="78" t="s">
        <v>122</v>
      </c>
      <c r="E146" s="80">
        <v>39.2</v>
      </c>
      <c r="F146" s="80"/>
      <c r="G146" s="80">
        <v>39.2</v>
      </c>
      <c r="H146" s="81" t="s">
        <v>125</v>
      </c>
      <c r="I146" s="82">
        <v>7604</v>
      </c>
      <c r="J146" s="80"/>
      <c r="K146" s="80"/>
      <c r="L146" s="80" t="str">
        <f>IF(39.11725*39.2=0," ",TEXT(,ROUND((39.11725*39.2*4.96),2)))</f>
        <v>7605,65</v>
      </c>
      <c r="M146" s="80"/>
      <c r="N146" s="80"/>
    </row>
    <row r="147" spans="1:14" ht="156">
      <c r="A147" s="78">
        <v>65</v>
      </c>
      <c r="B147" s="79" t="s">
        <v>126</v>
      </c>
      <c r="C147" s="79" t="s">
        <v>127</v>
      </c>
      <c r="D147" s="78">
        <v>3.4015</v>
      </c>
      <c r="E147" s="80" t="s">
        <v>128</v>
      </c>
      <c r="F147" s="80" t="s">
        <v>129</v>
      </c>
      <c r="G147" s="80"/>
      <c r="H147" s="81" t="s">
        <v>130</v>
      </c>
      <c r="I147" s="82">
        <v>32930</v>
      </c>
      <c r="J147" s="80">
        <v>27866</v>
      </c>
      <c r="K147" s="80" t="s">
        <v>131</v>
      </c>
      <c r="L147" s="80" t="str">
        <f>IF(3.4015*0=0," ",TEXT(,ROUND((3.4015*0*6.8),2)))</f>
        <v> </v>
      </c>
      <c r="M147" s="80" t="s">
        <v>132</v>
      </c>
      <c r="N147" s="80" t="s">
        <v>133</v>
      </c>
    </row>
    <row r="148" spans="1:14" ht="168">
      <c r="A148" s="78">
        <v>66</v>
      </c>
      <c r="B148" s="79" t="s">
        <v>134</v>
      </c>
      <c r="C148" s="79" t="s">
        <v>135</v>
      </c>
      <c r="D148" s="78">
        <v>3.4015</v>
      </c>
      <c r="E148" s="80" t="s">
        <v>136</v>
      </c>
      <c r="F148" s="80" t="s">
        <v>137</v>
      </c>
      <c r="G148" s="80"/>
      <c r="H148" s="81" t="s">
        <v>130</v>
      </c>
      <c r="I148" s="82">
        <v>52860</v>
      </c>
      <c r="J148" s="80">
        <v>43165</v>
      </c>
      <c r="K148" s="80" t="s">
        <v>138</v>
      </c>
      <c r="L148" s="80" t="str">
        <f>IF(3.4015*0=0," ",TEXT(,ROUND((3.4015*0*6.8),2)))</f>
        <v> </v>
      </c>
      <c r="M148" s="80" t="s">
        <v>139</v>
      </c>
      <c r="N148" s="80" t="s">
        <v>140</v>
      </c>
    </row>
    <row r="149" spans="1:14" ht="48">
      <c r="A149" s="78">
        <v>67</v>
      </c>
      <c r="B149" s="79" t="s">
        <v>141</v>
      </c>
      <c r="C149" s="79" t="s">
        <v>142</v>
      </c>
      <c r="D149" s="78" t="s">
        <v>143</v>
      </c>
      <c r="E149" s="80">
        <v>693.24</v>
      </c>
      <c r="F149" s="80"/>
      <c r="G149" s="80">
        <v>693.24</v>
      </c>
      <c r="H149" s="81" t="s">
        <v>144</v>
      </c>
      <c r="I149" s="82">
        <v>371656</v>
      </c>
      <c r="J149" s="80"/>
      <c r="K149" s="80"/>
      <c r="L149" s="80" t="str">
        <f>IF(96.0784*693.24=0," ",TEXT(,ROUND((96.0784*693.24*5.58),2)))</f>
        <v>371658,08</v>
      </c>
      <c r="M149" s="80"/>
      <c r="N149" s="80"/>
    </row>
    <row r="150" spans="1:14" ht="108">
      <c r="A150" s="78">
        <v>68</v>
      </c>
      <c r="B150" s="79" t="s">
        <v>145</v>
      </c>
      <c r="C150" s="79" t="s">
        <v>146</v>
      </c>
      <c r="D150" s="78">
        <v>0.791</v>
      </c>
      <c r="E150" s="80" t="s">
        <v>147</v>
      </c>
      <c r="F150" s="80" t="s">
        <v>148</v>
      </c>
      <c r="G150" s="80">
        <v>1007.15</v>
      </c>
      <c r="H150" s="81" t="s">
        <v>149</v>
      </c>
      <c r="I150" s="82">
        <v>4864</v>
      </c>
      <c r="J150" s="80">
        <v>477</v>
      </c>
      <c r="K150" s="80" t="s">
        <v>150</v>
      </c>
      <c r="L150" s="80" t="str">
        <f>IF(0.791*1007.15=0," ",TEXT(,ROUND((0.791*1007.15*5.34),2)))</f>
        <v>4254,14</v>
      </c>
      <c r="M150" s="80" t="s">
        <v>151</v>
      </c>
      <c r="N150" s="80" t="s">
        <v>152</v>
      </c>
    </row>
    <row r="151" spans="1:14" ht="180">
      <c r="A151" s="78">
        <v>69</v>
      </c>
      <c r="B151" s="79" t="s">
        <v>670</v>
      </c>
      <c r="C151" s="79" t="s">
        <v>671</v>
      </c>
      <c r="D151" s="78">
        <v>4.501</v>
      </c>
      <c r="E151" s="80" t="s">
        <v>672</v>
      </c>
      <c r="F151" s="80" t="s">
        <v>673</v>
      </c>
      <c r="G151" s="80">
        <v>1.84</v>
      </c>
      <c r="H151" s="81" t="s">
        <v>674</v>
      </c>
      <c r="I151" s="82">
        <v>17808</v>
      </c>
      <c r="J151" s="80">
        <v>10446</v>
      </c>
      <c r="K151" s="80" t="s">
        <v>153</v>
      </c>
      <c r="L151" s="80" t="str">
        <f>IF(4.501*1.84=0," ",TEXT(,ROUND((4.501*1.84*19.16),2)))</f>
        <v>158,68</v>
      </c>
      <c r="M151" s="80" t="s">
        <v>676</v>
      </c>
      <c r="N151" s="80" t="s">
        <v>154</v>
      </c>
    </row>
    <row r="152" spans="1:14" ht="60">
      <c r="A152" s="78">
        <v>70</v>
      </c>
      <c r="B152" s="79" t="s">
        <v>678</v>
      </c>
      <c r="C152" s="79" t="s">
        <v>679</v>
      </c>
      <c r="D152" s="78" t="s">
        <v>155</v>
      </c>
      <c r="E152" s="80">
        <v>18.53</v>
      </c>
      <c r="F152" s="80"/>
      <c r="G152" s="80">
        <v>18.53</v>
      </c>
      <c r="H152" s="81" t="s">
        <v>681</v>
      </c>
      <c r="I152" s="82">
        <v>30599</v>
      </c>
      <c r="J152" s="80"/>
      <c r="K152" s="80"/>
      <c r="L152" s="80" t="str">
        <f>IF(135.03*18.53=0," ",TEXT(,ROUND((135.03*18.53*12.23),2)))</f>
        <v>30600,76</v>
      </c>
      <c r="M152" s="80"/>
      <c r="N152" s="80"/>
    </row>
    <row r="153" spans="1:14" ht="132">
      <c r="A153" s="78">
        <v>71</v>
      </c>
      <c r="B153" s="79" t="s">
        <v>575</v>
      </c>
      <c r="C153" s="79" t="s">
        <v>156</v>
      </c>
      <c r="D153" s="78">
        <v>0.0112</v>
      </c>
      <c r="E153" s="80" t="s">
        <v>157</v>
      </c>
      <c r="F153" s="80" t="s">
        <v>158</v>
      </c>
      <c r="G153" s="80">
        <v>50060.29</v>
      </c>
      <c r="H153" s="81" t="s">
        <v>579</v>
      </c>
      <c r="I153" s="82">
        <v>4963</v>
      </c>
      <c r="J153" s="80">
        <v>214</v>
      </c>
      <c r="K153" s="80" t="s">
        <v>159</v>
      </c>
      <c r="L153" s="80" t="str">
        <f>IF(0.0112*50060.29=0," ",TEXT(,ROUND((0.0112*50060.29*8.17),2)))</f>
        <v>4580,72</v>
      </c>
      <c r="M153" s="80" t="s">
        <v>160</v>
      </c>
      <c r="N153" s="80" t="s">
        <v>161</v>
      </c>
    </row>
    <row r="154" spans="1:14" ht="108">
      <c r="A154" s="78">
        <v>72</v>
      </c>
      <c r="B154" s="79" t="s">
        <v>162</v>
      </c>
      <c r="C154" s="79" t="s">
        <v>163</v>
      </c>
      <c r="D154" s="78">
        <v>-1.12</v>
      </c>
      <c r="E154" s="80">
        <v>484</v>
      </c>
      <c r="F154" s="80"/>
      <c r="G154" s="80">
        <v>484</v>
      </c>
      <c r="H154" s="81" t="s">
        <v>164</v>
      </c>
      <c r="I154" s="82">
        <v>-4479</v>
      </c>
      <c r="J154" s="80"/>
      <c r="K154" s="80"/>
      <c r="L154" s="80" t="str">
        <f>IF(-1.12*484=0," ",TEXT(,ROUND((-1.12*484*8.263),2)))</f>
        <v>-4479,21</v>
      </c>
      <c r="M154" s="80"/>
      <c r="N154" s="80"/>
    </row>
    <row r="155" spans="1:14" ht="120">
      <c r="A155" s="78">
        <v>73</v>
      </c>
      <c r="B155" s="79" t="s">
        <v>165</v>
      </c>
      <c r="C155" s="79" t="s">
        <v>166</v>
      </c>
      <c r="D155" s="78">
        <v>1.12</v>
      </c>
      <c r="E155" s="80">
        <v>546.92</v>
      </c>
      <c r="F155" s="80"/>
      <c r="G155" s="80">
        <v>546.92</v>
      </c>
      <c r="H155" s="81" t="s">
        <v>167</v>
      </c>
      <c r="I155" s="82">
        <v>4330</v>
      </c>
      <c r="J155" s="80"/>
      <c r="K155" s="80"/>
      <c r="L155" s="80" t="str">
        <f>IF(1.12*546.92=0," ",TEXT(,ROUND((1.12*546.92*7.063),2)))</f>
        <v>4326,44</v>
      </c>
      <c r="M155" s="80"/>
      <c r="N155" s="80"/>
    </row>
    <row r="156" spans="1:14" ht="24">
      <c r="A156" s="90" t="s">
        <v>593</v>
      </c>
      <c r="B156" s="90"/>
      <c r="C156" s="90"/>
      <c r="D156" s="90"/>
      <c r="E156" s="90"/>
      <c r="F156" s="90"/>
      <c r="G156" s="90"/>
      <c r="H156" s="90"/>
      <c r="I156" s="82">
        <v>80913</v>
      </c>
      <c r="J156" s="80">
        <v>5242</v>
      </c>
      <c r="K156" s="80" t="s">
        <v>168</v>
      </c>
      <c r="L156" s="80">
        <v>73325</v>
      </c>
      <c r="M156" s="80"/>
      <c r="N156" s="80" t="s">
        <v>169</v>
      </c>
    </row>
    <row r="157" spans="1:14" ht="24">
      <c r="A157" s="90" t="s">
        <v>596</v>
      </c>
      <c r="B157" s="90"/>
      <c r="C157" s="90"/>
      <c r="D157" s="90"/>
      <c r="E157" s="90"/>
      <c r="F157" s="90"/>
      <c r="G157" s="90"/>
      <c r="H157" s="90"/>
      <c r="I157" s="82">
        <v>533801</v>
      </c>
      <c r="J157" s="80">
        <v>86231</v>
      </c>
      <c r="K157" s="80" t="s">
        <v>170</v>
      </c>
      <c r="L157" s="80">
        <v>424894</v>
      </c>
      <c r="M157" s="80"/>
      <c r="N157" s="80" t="s">
        <v>169</v>
      </c>
    </row>
    <row r="158" spans="1:14" ht="12">
      <c r="A158" s="90" t="s">
        <v>598</v>
      </c>
      <c r="B158" s="90"/>
      <c r="C158" s="90"/>
      <c r="D158" s="90"/>
      <c r="E158" s="90"/>
      <c r="F158" s="90"/>
      <c r="G158" s="90"/>
      <c r="H158" s="90"/>
      <c r="I158" s="82">
        <v>81874</v>
      </c>
      <c r="J158" s="80"/>
      <c r="K158" s="80"/>
      <c r="L158" s="80"/>
      <c r="M158" s="80"/>
      <c r="N158" s="80"/>
    </row>
    <row r="159" spans="1:14" ht="12">
      <c r="A159" s="90" t="s">
        <v>599</v>
      </c>
      <c r="B159" s="90"/>
      <c r="C159" s="90"/>
      <c r="D159" s="90"/>
      <c r="E159" s="90"/>
      <c r="F159" s="90"/>
      <c r="G159" s="90"/>
      <c r="H159" s="90"/>
      <c r="I159" s="82">
        <v>39457</v>
      </c>
      <c r="J159" s="80"/>
      <c r="K159" s="80"/>
      <c r="L159" s="80"/>
      <c r="M159" s="80"/>
      <c r="N159" s="80"/>
    </row>
    <row r="160" spans="1:14" ht="12">
      <c r="A160" s="92" t="s">
        <v>171</v>
      </c>
      <c r="B160" s="92"/>
      <c r="C160" s="92"/>
      <c r="D160" s="92"/>
      <c r="E160" s="92"/>
      <c r="F160" s="92"/>
      <c r="G160" s="92"/>
      <c r="H160" s="92"/>
      <c r="I160" s="82"/>
      <c r="J160" s="80"/>
      <c r="K160" s="80"/>
      <c r="L160" s="80"/>
      <c r="M160" s="80"/>
      <c r="N160" s="80"/>
    </row>
    <row r="161" spans="1:14" ht="12">
      <c r="A161" s="90" t="s">
        <v>602</v>
      </c>
      <c r="B161" s="90"/>
      <c r="C161" s="90"/>
      <c r="D161" s="90"/>
      <c r="E161" s="90"/>
      <c r="F161" s="90"/>
      <c r="G161" s="90"/>
      <c r="H161" s="90"/>
      <c r="I161" s="82">
        <v>39634</v>
      </c>
      <c r="J161" s="80"/>
      <c r="K161" s="80"/>
      <c r="L161" s="80"/>
      <c r="M161" s="80"/>
      <c r="N161" s="80">
        <v>30.75</v>
      </c>
    </row>
    <row r="162" spans="1:14" ht="12">
      <c r="A162" s="90" t="s">
        <v>69</v>
      </c>
      <c r="B162" s="90"/>
      <c r="C162" s="90"/>
      <c r="D162" s="90"/>
      <c r="E162" s="90"/>
      <c r="F162" s="90"/>
      <c r="G162" s="90"/>
      <c r="H162" s="90"/>
      <c r="I162" s="82">
        <v>385862</v>
      </c>
      <c r="J162" s="80"/>
      <c r="K162" s="80"/>
      <c r="L162" s="80"/>
      <c r="M162" s="80"/>
      <c r="N162" s="80"/>
    </row>
    <row r="163" spans="1:14" ht="24">
      <c r="A163" s="90" t="s">
        <v>72</v>
      </c>
      <c r="B163" s="90"/>
      <c r="C163" s="90"/>
      <c r="D163" s="90"/>
      <c r="E163" s="90"/>
      <c r="F163" s="90"/>
      <c r="G163" s="90"/>
      <c r="H163" s="90"/>
      <c r="I163" s="82">
        <v>187420</v>
      </c>
      <c r="J163" s="80"/>
      <c r="K163" s="80"/>
      <c r="L163" s="80"/>
      <c r="M163" s="80"/>
      <c r="N163" s="80" t="s">
        <v>172</v>
      </c>
    </row>
    <row r="164" spans="1:14" ht="24">
      <c r="A164" s="90" t="s">
        <v>603</v>
      </c>
      <c r="B164" s="90"/>
      <c r="C164" s="90"/>
      <c r="D164" s="90"/>
      <c r="E164" s="90"/>
      <c r="F164" s="90"/>
      <c r="G164" s="90"/>
      <c r="H164" s="90"/>
      <c r="I164" s="82">
        <v>10848</v>
      </c>
      <c r="J164" s="80"/>
      <c r="K164" s="80"/>
      <c r="L164" s="80"/>
      <c r="M164" s="80"/>
      <c r="N164" s="80" t="s">
        <v>173</v>
      </c>
    </row>
    <row r="165" spans="1:14" ht="24">
      <c r="A165" s="90" t="s">
        <v>70</v>
      </c>
      <c r="B165" s="90"/>
      <c r="C165" s="90"/>
      <c r="D165" s="90"/>
      <c r="E165" s="90"/>
      <c r="F165" s="90"/>
      <c r="G165" s="90"/>
      <c r="H165" s="90"/>
      <c r="I165" s="82">
        <v>31368</v>
      </c>
      <c r="J165" s="80"/>
      <c r="K165" s="80"/>
      <c r="L165" s="80"/>
      <c r="M165" s="80"/>
      <c r="N165" s="80" t="s">
        <v>154</v>
      </c>
    </row>
    <row r="166" spans="1:14" ht="24">
      <c r="A166" s="90" t="s">
        <v>609</v>
      </c>
      <c r="B166" s="90"/>
      <c r="C166" s="90"/>
      <c r="D166" s="90"/>
      <c r="E166" s="90"/>
      <c r="F166" s="90"/>
      <c r="G166" s="90"/>
      <c r="H166" s="90"/>
      <c r="I166" s="82">
        <v>655132</v>
      </c>
      <c r="J166" s="80"/>
      <c r="K166" s="80"/>
      <c r="L166" s="80"/>
      <c r="M166" s="80"/>
      <c r="N166" s="80" t="s">
        <v>169</v>
      </c>
    </row>
    <row r="167" spans="1:14" ht="12">
      <c r="A167" s="90" t="s">
        <v>610</v>
      </c>
      <c r="B167" s="90"/>
      <c r="C167" s="90"/>
      <c r="D167" s="90"/>
      <c r="E167" s="90"/>
      <c r="F167" s="90"/>
      <c r="G167" s="90"/>
      <c r="H167" s="90"/>
      <c r="I167" s="82"/>
      <c r="J167" s="80"/>
      <c r="K167" s="80"/>
      <c r="L167" s="80"/>
      <c r="M167" s="80"/>
      <c r="N167" s="80"/>
    </row>
    <row r="168" spans="1:14" ht="12">
      <c r="A168" s="90" t="s">
        <v>611</v>
      </c>
      <c r="B168" s="90"/>
      <c r="C168" s="90"/>
      <c r="D168" s="90"/>
      <c r="E168" s="90"/>
      <c r="F168" s="90"/>
      <c r="G168" s="90"/>
      <c r="H168" s="90"/>
      <c r="I168" s="82">
        <v>424894</v>
      </c>
      <c r="J168" s="80"/>
      <c r="K168" s="80"/>
      <c r="L168" s="80"/>
      <c r="M168" s="80"/>
      <c r="N168" s="80"/>
    </row>
    <row r="169" spans="1:14" ht="12">
      <c r="A169" s="90" t="s">
        <v>612</v>
      </c>
      <c r="B169" s="90"/>
      <c r="C169" s="90"/>
      <c r="D169" s="90"/>
      <c r="E169" s="90"/>
      <c r="F169" s="90"/>
      <c r="G169" s="90"/>
      <c r="H169" s="90"/>
      <c r="I169" s="82">
        <v>22676</v>
      </c>
      <c r="J169" s="80"/>
      <c r="K169" s="80"/>
      <c r="L169" s="80"/>
      <c r="M169" s="80"/>
      <c r="N169" s="80"/>
    </row>
    <row r="170" spans="1:14" ht="12">
      <c r="A170" s="90" t="s">
        <v>613</v>
      </c>
      <c r="B170" s="90"/>
      <c r="C170" s="90"/>
      <c r="D170" s="90"/>
      <c r="E170" s="90"/>
      <c r="F170" s="90"/>
      <c r="G170" s="90"/>
      <c r="H170" s="90"/>
      <c r="I170" s="82">
        <v>87990</v>
      </c>
      <c r="J170" s="80"/>
      <c r="K170" s="80"/>
      <c r="L170" s="80"/>
      <c r="M170" s="80"/>
      <c r="N170" s="80"/>
    </row>
    <row r="171" spans="1:14" ht="12">
      <c r="A171" s="90" t="s">
        <v>614</v>
      </c>
      <c r="B171" s="90"/>
      <c r="C171" s="90"/>
      <c r="D171" s="90"/>
      <c r="E171" s="90"/>
      <c r="F171" s="90"/>
      <c r="G171" s="90"/>
      <c r="H171" s="90"/>
      <c r="I171" s="82">
        <v>81874</v>
      </c>
      <c r="J171" s="80"/>
      <c r="K171" s="80"/>
      <c r="L171" s="80"/>
      <c r="M171" s="80"/>
      <c r="N171" s="80"/>
    </row>
    <row r="172" spans="1:14" ht="12">
      <c r="A172" s="90" t="s">
        <v>615</v>
      </c>
      <c r="B172" s="90"/>
      <c r="C172" s="90"/>
      <c r="D172" s="90"/>
      <c r="E172" s="90"/>
      <c r="F172" s="90"/>
      <c r="G172" s="90"/>
      <c r="H172" s="90"/>
      <c r="I172" s="82">
        <v>39457</v>
      </c>
      <c r="J172" s="80"/>
      <c r="K172" s="80"/>
      <c r="L172" s="80"/>
      <c r="M172" s="80"/>
      <c r="N172" s="80"/>
    </row>
    <row r="173" spans="1:14" ht="24">
      <c r="A173" s="92" t="s">
        <v>174</v>
      </c>
      <c r="B173" s="92"/>
      <c r="C173" s="92"/>
      <c r="D173" s="92"/>
      <c r="E173" s="92"/>
      <c r="F173" s="92"/>
      <c r="G173" s="92"/>
      <c r="H173" s="92"/>
      <c r="I173" s="82">
        <v>655132</v>
      </c>
      <c r="J173" s="80"/>
      <c r="K173" s="80"/>
      <c r="L173" s="80"/>
      <c r="M173" s="80"/>
      <c r="N173" s="80" t="s">
        <v>169</v>
      </c>
    </row>
    <row r="174" spans="1:14" ht="17.25" customHeight="1">
      <c r="A174" s="92" t="s">
        <v>175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</row>
    <row r="175" spans="1:14" ht="192">
      <c r="A175" s="78">
        <v>74</v>
      </c>
      <c r="B175" s="79" t="s">
        <v>176</v>
      </c>
      <c r="C175" s="79" t="s">
        <v>177</v>
      </c>
      <c r="D175" s="78">
        <v>5.326</v>
      </c>
      <c r="E175" s="80">
        <v>137.9</v>
      </c>
      <c r="F175" s="80">
        <v>137.9</v>
      </c>
      <c r="G175" s="80"/>
      <c r="H175" s="81" t="s">
        <v>178</v>
      </c>
      <c r="I175" s="82">
        <v>8382</v>
      </c>
      <c r="J175" s="80"/>
      <c r="K175" s="80">
        <v>8382</v>
      </c>
      <c r="L175" s="80" t="str">
        <f>IF(5.326*0=0," ",TEXT(,ROUND((5.326*0*1),2)))</f>
        <v> </v>
      </c>
      <c r="M175" s="80"/>
      <c r="N175" s="80"/>
    </row>
    <row r="176" spans="1:14" ht="192">
      <c r="A176" s="78">
        <v>75</v>
      </c>
      <c r="B176" s="79" t="s">
        <v>179</v>
      </c>
      <c r="C176" s="79" t="s">
        <v>180</v>
      </c>
      <c r="D176" s="78">
        <v>0.764</v>
      </c>
      <c r="E176" s="80">
        <v>162.24</v>
      </c>
      <c r="F176" s="80">
        <v>162.24</v>
      </c>
      <c r="G176" s="80"/>
      <c r="H176" s="81" t="s">
        <v>181</v>
      </c>
      <c r="I176" s="82">
        <v>1416</v>
      </c>
      <c r="J176" s="80"/>
      <c r="K176" s="80">
        <v>1416</v>
      </c>
      <c r="L176" s="80" t="str">
        <f>IF(0.764*0=0," ",TEXT(,ROUND((0.764*0*1),2)))</f>
        <v> </v>
      </c>
      <c r="M176" s="80"/>
      <c r="N176" s="80"/>
    </row>
    <row r="177" spans="1:14" ht="192">
      <c r="A177" s="78">
        <v>76</v>
      </c>
      <c r="B177" s="79" t="s">
        <v>182</v>
      </c>
      <c r="C177" s="79" t="s">
        <v>183</v>
      </c>
      <c r="D177" s="78">
        <v>0.014</v>
      </c>
      <c r="E177" s="80">
        <v>227.94</v>
      </c>
      <c r="F177" s="80">
        <v>227.94</v>
      </c>
      <c r="G177" s="80"/>
      <c r="H177" s="81" t="s">
        <v>184</v>
      </c>
      <c r="I177" s="82">
        <v>34</v>
      </c>
      <c r="J177" s="80"/>
      <c r="K177" s="80">
        <v>34</v>
      </c>
      <c r="L177" s="80" t="str">
        <f>IF(0.014*0=0," ",TEXT(,ROUND((0.014*0*1),2)))</f>
        <v> </v>
      </c>
      <c r="M177" s="80"/>
      <c r="N177" s="80"/>
    </row>
    <row r="178" spans="1:14" ht="192">
      <c r="A178" s="78">
        <v>77</v>
      </c>
      <c r="B178" s="79" t="s">
        <v>185</v>
      </c>
      <c r="C178" s="79" t="s">
        <v>186</v>
      </c>
      <c r="D178" s="78">
        <v>12.042</v>
      </c>
      <c r="E178" s="80">
        <v>306.45</v>
      </c>
      <c r="F178" s="80">
        <v>306.45</v>
      </c>
      <c r="G178" s="80"/>
      <c r="H178" s="81" t="s">
        <v>187</v>
      </c>
      <c r="I178" s="82">
        <v>42140</v>
      </c>
      <c r="J178" s="80"/>
      <c r="K178" s="80">
        <v>42140</v>
      </c>
      <c r="L178" s="80" t="str">
        <f>IF(12.042*0=0," ",TEXT(,ROUND((12.042*0*1),2)))</f>
        <v> </v>
      </c>
      <c r="M178" s="80"/>
      <c r="N178" s="80"/>
    </row>
    <row r="179" spans="1:14" ht="204">
      <c r="A179" s="78">
        <v>78</v>
      </c>
      <c r="B179" s="79" t="s">
        <v>188</v>
      </c>
      <c r="C179" s="79" t="s">
        <v>189</v>
      </c>
      <c r="D179" s="78">
        <v>5.498</v>
      </c>
      <c r="E179" s="80">
        <v>69.6</v>
      </c>
      <c r="F179" s="80">
        <v>69.6</v>
      </c>
      <c r="G179" s="80"/>
      <c r="H179" s="81" t="s">
        <v>190</v>
      </c>
      <c r="I179" s="82">
        <v>4374</v>
      </c>
      <c r="J179" s="80"/>
      <c r="K179" s="80">
        <v>4374</v>
      </c>
      <c r="L179" s="80" t="str">
        <f>IF(5.498*0=0," ",TEXT(,ROUND((5.498*0*1),2)))</f>
        <v> </v>
      </c>
      <c r="M179" s="80"/>
      <c r="N179" s="80"/>
    </row>
    <row r="180" spans="1:14" ht="204">
      <c r="A180" s="78">
        <v>79</v>
      </c>
      <c r="B180" s="79" t="s">
        <v>191</v>
      </c>
      <c r="C180" s="79" t="s">
        <v>192</v>
      </c>
      <c r="D180" s="78">
        <v>0.764</v>
      </c>
      <c r="E180" s="80">
        <v>81.6</v>
      </c>
      <c r="F180" s="80">
        <v>81.6</v>
      </c>
      <c r="G180" s="80"/>
      <c r="H180" s="81" t="s">
        <v>193</v>
      </c>
      <c r="I180" s="82">
        <v>708</v>
      </c>
      <c r="J180" s="80"/>
      <c r="K180" s="80">
        <v>708</v>
      </c>
      <c r="L180" s="80" t="str">
        <f>IF(0.764*0=0," ",TEXT(,ROUND((0.764*0*1),2)))</f>
        <v> </v>
      </c>
      <c r="M180" s="80"/>
      <c r="N180" s="80"/>
    </row>
    <row r="181" spans="1:14" ht="204">
      <c r="A181" s="78">
        <v>80</v>
      </c>
      <c r="B181" s="79" t="s">
        <v>194</v>
      </c>
      <c r="C181" s="79" t="s">
        <v>195</v>
      </c>
      <c r="D181" s="78">
        <v>0.014</v>
      </c>
      <c r="E181" s="80">
        <v>115.2</v>
      </c>
      <c r="F181" s="80">
        <v>115.2</v>
      </c>
      <c r="G181" s="80"/>
      <c r="H181" s="81" t="s">
        <v>196</v>
      </c>
      <c r="I181" s="82">
        <v>23</v>
      </c>
      <c r="J181" s="80"/>
      <c r="K181" s="80">
        <v>23</v>
      </c>
      <c r="L181" s="80" t="str">
        <f>IF(0.014*0=0," ",TEXT(,ROUND((0.014*0*1),2)))</f>
        <v> </v>
      </c>
      <c r="M181" s="80"/>
      <c r="N181" s="80"/>
    </row>
    <row r="182" spans="1:14" ht="204">
      <c r="A182" s="78">
        <v>81</v>
      </c>
      <c r="B182" s="79" t="s">
        <v>197</v>
      </c>
      <c r="C182" s="79" t="s">
        <v>198</v>
      </c>
      <c r="D182" s="78">
        <v>12.042</v>
      </c>
      <c r="E182" s="80">
        <v>154.8</v>
      </c>
      <c r="F182" s="80">
        <v>154.8</v>
      </c>
      <c r="G182" s="80"/>
      <c r="H182" s="81" t="s">
        <v>199</v>
      </c>
      <c r="I182" s="82">
        <v>21287</v>
      </c>
      <c r="J182" s="80"/>
      <c r="K182" s="80">
        <v>21287</v>
      </c>
      <c r="L182" s="80" t="str">
        <f>IF(12.042*0=0," ",TEXT(,ROUND((12.042*0*1),2)))</f>
        <v> </v>
      </c>
      <c r="M182" s="80"/>
      <c r="N182" s="80"/>
    </row>
    <row r="183" spans="1:14" ht="12">
      <c r="A183" s="90" t="s">
        <v>593</v>
      </c>
      <c r="B183" s="90"/>
      <c r="C183" s="90"/>
      <c r="D183" s="90"/>
      <c r="E183" s="90"/>
      <c r="F183" s="90"/>
      <c r="G183" s="90"/>
      <c r="H183" s="90"/>
      <c r="I183" s="82">
        <v>6862</v>
      </c>
      <c r="J183" s="80"/>
      <c r="K183" s="80">
        <v>6862</v>
      </c>
      <c r="L183" s="80"/>
      <c r="M183" s="80"/>
      <c r="N183" s="80"/>
    </row>
    <row r="184" spans="1:14" ht="12">
      <c r="A184" s="90" t="s">
        <v>596</v>
      </c>
      <c r="B184" s="90"/>
      <c r="C184" s="90"/>
      <c r="D184" s="90"/>
      <c r="E184" s="90"/>
      <c r="F184" s="90"/>
      <c r="G184" s="90"/>
      <c r="H184" s="90"/>
      <c r="I184" s="82">
        <v>78364</v>
      </c>
      <c r="J184" s="80"/>
      <c r="K184" s="80">
        <v>78364</v>
      </c>
      <c r="L184" s="80"/>
      <c r="M184" s="80"/>
      <c r="N184" s="80"/>
    </row>
    <row r="185" spans="1:14" ht="12">
      <c r="A185" s="92" t="s">
        <v>200</v>
      </c>
      <c r="B185" s="92"/>
      <c r="C185" s="92"/>
      <c r="D185" s="92"/>
      <c r="E185" s="92"/>
      <c r="F185" s="92"/>
      <c r="G185" s="92"/>
      <c r="H185" s="92"/>
      <c r="I185" s="82"/>
      <c r="J185" s="80"/>
      <c r="K185" s="80"/>
      <c r="L185" s="80"/>
      <c r="M185" s="80"/>
      <c r="N185" s="80"/>
    </row>
    <row r="186" spans="1:14" ht="12">
      <c r="A186" s="90" t="s">
        <v>608</v>
      </c>
      <c r="B186" s="90"/>
      <c r="C186" s="90"/>
      <c r="D186" s="90"/>
      <c r="E186" s="90"/>
      <c r="F186" s="90"/>
      <c r="G186" s="90"/>
      <c r="H186" s="90"/>
      <c r="I186" s="82">
        <v>78364</v>
      </c>
      <c r="J186" s="80"/>
      <c r="K186" s="80"/>
      <c r="L186" s="80"/>
      <c r="M186" s="80"/>
      <c r="N186" s="80"/>
    </row>
    <row r="187" spans="1:14" ht="12">
      <c r="A187" s="90" t="s">
        <v>609</v>
      </c>
      <c r="B187" s="90"/>
      <c r="C187" s="90"/>
      <c r="D187" s="90"/>
      <c r="E187" s="90"/>
      <c r="F187" s="90"/>
      <c r="G187" s="90"/>
      <c r="H187" s="90"/>
      <c r="I187" s="82">
        <v>78364</v>
      </c>
      <c r="J187" s="80"/>
      <c r="K187" s="80"/>
      <c r="L187" s="80"/>
      <c r="M187" s="80"/>
      <c r="N187" s="80"/>
    </row>
    <row r="188" spans="1:14" ht="12">
      <c r="A188" s="90" t="s">
        <v>610</v>
      </c>
      <c r="B188" s="90"/>
      <c r="C188" s="90"/>
      <c r="D188" s="90"/>
      <c r="E188" s="90"/>
      <c r="F188" s="90"/>
      <c r="G188" s="90"/>
      <c r="H188" s="90"/>
      <c r="I188" s="82"/>
      <c r="J188" s="80"/>
      <c r="K188" s="80"/>
      <c r="L188" s="80"/>
      <c r="M188" s="80"/>
      <c r="N188" s="80"/>
    </row>
    <row r="189" spans="1:14" ht="12">
      <c r="A189" s="90" t="s">
        <v>612</v>
      </c>
      <c r="B189" s="90"/>
      <c r="C189" s="90"/>
      <c r="D189" s="90"/>
      <c r="E189" s="90"/>
      <c r="F189" s="90"/>
      <c r="G189" s="90"/>
      <c r="H189" s="90"/>
      <c r="I189" s="82">
        <v>78364</v>
      </c>
      <c r="J189" s="80"/>
      <c r="K189" s="80"/>
      <c r="L189" s="80"/>
      <c r="M189" s="80"/>
      <c r="N189" s="80"/>
    </row>
    <row r="190" spans="1:14" ht="12">
      <c r="A190" s="92" t="s">
        <v>201</v>
      </c>
      <c r="B190" s="92"/>
      <c r="C190" s="92"/>
      <c r="D190" s="92"/>
      <c r="E190" s="92"/>
      <c r="F190" s="92"/>
      <c r="G190" s="92"/>
      <c r="H190" s="92"/>
      <c r="I190" s="82">
        <v>78364</v>
      </c>
      <c r="J190" s="80"/>
      <c r="K190" s="80"/>
      <c r="L190" s="80"/>
      <c r="M190" s="80"/>
      <c r="N190" s="80"/>
    </row>
    <row r="191" spans="1:14" ht="24">
      <c r="A191" s="89" t="s">
        <v>202</v>
      </c>
      <c r="B191" s="90"/>
      <c r="C191" s="90"/>
      <c r="D191" s="90"/>
      <c r="E191" s="90"/>
      <c r="F191" s="90"/>
      <c r="G191" s="90"/>
      <c r="H191" s="90"/>
      <c r="I191" s="83">
        <v>202491</v>
      </c>
      <c r="J191" s="83">
        <v>17050</v>
      </c>
      <c r="K191" s="83" t="s">
        <v>203</v>
      </c>
      <c r="L191" s="83">
        <v>171523</v>
      </c>
      <c r="M191" s="83"/>
      <c r="N191" s="83" t="s">
        <v>204</v>
      </c>
    </row>
    <row r="192" spans="1:14" ht="24">
      <c r="A192" s="89" t="s">
        <v>205</v>
      </c>
      <c r="B192" s="90"/>
      <c r="C192" s="90"/>
      <c r="D192" s="90"/>
      <c r="E192" s="90"/>
      <c r="F192" s="90"/>
      <c r="G192" s="90"/>
      <c r="H192" s="90"/>
      <c r="I192" s="83">
        <v>1330484</v>
      </c>
      <c r="J192" s="83">
        <v>280472</v>
      </c>
      <c r="K192" s="83" t="s">
        <v>206</v>
      </c>
      <c r="L192" s="83">
        <v>898568</v>
      </c>
      <c r="M192" s="83"/>
      <c r="N192" s="83" t="s">
        <v>204</v>
      </c>
    </row>
    <row r="193" spans="1:14" ht="12">
      <c r="A193" s="89" t="s">
        <v>598</v>
      </c>
      <c r="B193" s="90"/>
      <c r="C193" s="90"/>
      <c r="D193" s="90"/>
      <c r="E193" s="90"/>
      <c r="F193" s="90"/>
      <c r="G193" s="90"/>
      <c r="H193" s="90"/>
      <c r="I193" s="83">
        <v>282959</v>
      </c>
      <c r="J193" s="83"/>
      <c r="K193" s="83"/>
      <c r="L193" s="83"/>
      <c r="M193" s="83"/>
      <c r="N193" s="83"/>
    </row>
    <row r="194" spans="1:14" ht="12">
      <c r="A194" s="89" t="s">
        <v>599</v>
      </c>
      <c r="B194" s="90"/>
      <c r="C194" s="90"/>
      <c r="D194" s="90"/>
      <c r="E194" s="90"/>
      <c r="F194" s="90"/>
      <c r="G194" s="90"/>
      <c r="H194" s="90"/>
      <c r="I194" s="83">
        <v>129820</v>
      </c>
      <c r="J194" s="83"/>
      <c r="K194" s="83"/>
      <c r="L194" s="83"/>
      <c r="M194" s="83"/>
      <c r="N194" s="83"/>
    </row>
    <row r="195" spans="1:14" ht="12">
      <c r="A195" s="91" t="s">
        <v>207</v>
      </c>
      <c r="B195" s="92"/>
      <c r="C195" s="92"/>
      <c r="D195" s="92"/>
      <c r="E195" s="92"/>
      <c r="F195" s="92"/>
      <c r="G195" s="92"/>
      <c r="H195" s="92"/>
      <c r="I195" s="83"/>
      <c r="J195" s="83"/>
      <c r="K195" s="83"/>
      <c r="L195" s="83"/>
      <c r="M195" s="83"/>
      <c r="N195" s="83"/>
    </row>
    <row r="196" spans="1:14" ht="24" customHeight="1">
      <c r="A196" s="89" t="s">
        <v>601</v>
      </c>
      <c r="B196" s="90"/>
      <c r="C196" s="90"/>
      <c r="D196" s="90"/>
      <c r="E196" s="90"/>
      <c r="F196" s="90"/>
      <c r="G196" s="90"/>
      <c r="H196" s="90"/>
      <c r="I196" s="83">
        <v>23040</v>
      </c>
      <c r="J196" s="83"/>
      <c r="K196" s="83"/>
      <c r="L196" s="83"/>
      <c r="M196" s="83"/>
      <c r="N196" s="83">
        <v>74.32</v>
      </c>
    </row>
    <row r="197" spans="1:14" ht="24">
      <c r="A197" s="89" t="s">
        <v>602</v>
      </c>
      <c r="B197" s="90"/>
      <c r="C197" s="90"/>
      <c r="D197" s="90"/>
      <c r="E197" s="90"/>
      <c r="F197" s="90"/>
      <c r="G197" s="90"/>
      <c r="H197" s="90"/>
      <c r="I197" s="83">
        <v>152283</v>
      </c>
      <c r="J197" s="83"/>
      <c r="K197" s="83"/>
      <c r="L197" s="83"/>
      <c r="M197" s="83"/>
      <c r="N197" s="83" t="s">
        <v>208</v>
      </c>
    </row>
    <row r="198" spans="1:14" ht="24">
      <c r="A198" s="89" t="s">
        <v>603</v>
      </c>
      <c r="B198" s="90"/>
      <c r="C198" s="90"/>
      <c r="D198" s="90"/>
      <c r="E198" s="90"/>
      <c r="F198" s="90"/>
      <c r="G198" s="90"/>
      <c r="H198" s="90"/>
      <c r="I198" s="83">
        <v>218701</v>
      </c>
      <c r="J198" s="83"/>
      <c r="K198" s="83"/>
      <c r="L198" s="83"/>
      <c r="M198" s="83"/>
      <c r="N198" s="83" t="s">
        <v>209</v>
      </c>
    </row>
    <row r="199" spans="1:14" ht="24">
      <c r="A199" s="89" t="s">
        <v>605</v>
      </c>
      <c r="B199" s="90"/>
      <c r="C199" s="90"/>
      <c r="D199" s="90"/>
      <c r="E199" s="90"/>
      <c r="F199" s="90"/>
      <c r="G199" s="90"/>
      <c r="H199" s="90"/>
      <c r="I199" s="83">
        <v>1151</v>
      </c>
      <c r="J199" s="83"/>
      <c r="K199" s="83"/>
      <c r="L199" s="83"/>
      <c r="M199" s="83"/>
      <c r="N199" s="83" t="s">
        <v>566</v>
      </c>
    </row>
    <row r="200" spans="1:14" ht="12">
      <c r="A200" s="89" t="s">
        <v>606</v>
      </c>
      <c r="B200" s="90"/>
      <c r="C200" s="90"/>
      <c r="D200" s="90"/>
      <c r="E200" s="90"/>
      <c r="F200" s="90"/>
      <c r="G200" s="90"/>
      <c r="H200" s="90"/>
      <c r="I200" s="83">
        <v>36733</v>
      </c>
      <c r="J200" s="83"/>
      <c r="K200" s="83"/>
      <c r="L200" s="83"/>
      <c r="M200" s="83"/>
      <c r="N200" s="83">
        <v>127.06</v>
      </c>
    </row>
    <row r="201" spans="1:14" ht="12">
      <c r="A201" s="89" t="s">
        <v>607</v>
      </c>
      <c r="B201" s="90"/>
      <c r="C201" s="90"/>
      <c r="D201" s="90"/>
      <c r="E201" s="90"/>
      <c r="F201" s="90"/>
      <c r="G201" s="90"/>
      <c r="H201" s="90"/>
      <c r="I201" s="83">
        <v>1988</v>
      </c>
      <c r="J201" s="83"/>
      <c r="K201" s="83"/>
      <c r="L201" s="83"/>
      <c r="M201" s="83"/>
      <c r="N201" s="83"/>
    </row>
    <row r="202" spans="1:14" ht="12">
      <c r="A202" s="89" t="s">
        <v>608</v>
      </c>
      <c r="B202" s="90"/>
      <c r="C202" s="90"/>
      <c r="D202" s="90"/>
      <c r="E202" s="90"/>
      <c r="F202" s="90"/>
      <c r="G202" s="90"/>
      <c r="H202" s="90"/>
      <c r="I202" s="83">
        <v>80297</v>
      </c>
      <c r="J202" s="83"/>
      <c r="K202" s="83"/>
      <c r="L202" s="83"/>
      <c r="M202" s="83"/>
      <c r="N202" s="83"/>
    </row>
    <row r="203" spans="1:14" ht="12">
      <c r="A203" s="89" t="s">
        <v>69</v>
      </c>
      <c r="B203" s="90"/>
      <c r="C203" s="90"/>
      <c r="D203" s="90"/>
      <c r="E203" s="90"/>
      <c r="F203" s="90"/>
      <c r="G203" s="90"/>
      <c r="H203" s="90"/>
      <c r="I203" s="83">
        <v>496821</v>
      </c>
      <c r="J203" s="83"/>
      <c r="K203" s="83"/>
      <c r="L203" s="83"/>
      <c r="M203" s="83"/>
      <c r="N203" s="83"/>
    </row>
    <row r="204" spans="1:14" ht="24">
      <c r="A204" s="89" t="s">
        <v>70</v>
      </c>
      <c r="B204" s="90"/>
      <c r="C204" s="90"/>
      <c r="D204" s="90"/>
      <c r="E204" s="90"/>
      <c r="F204" s="90"/>
      <c r="G204" s="90"/>
      <c r="H204" s="90"/>
      <c r="I204" s="83">
        <v>188606</v>
      </c>
      <c r="J204" s="83"/>
      <c r="K204" s="83"/>
      <c r="L204" s="83"/>
      <c r="M204" s="83"/>
      <c r="N204" s="83" t="s">
        <v>210</v>
      </c>
    </row>
    <row r="205" spans="1:14" ht="12">
      <c r="A205" s="89" t="s">
        <v>71</v>
      </c>
      <c r="B205" s="90"/>
      <c r="C205" s="90"/>
      <c r="D205" s="90"/>
      <c r="E205" s="90"/>
      <c r="F205" s="90"/>
      <c r="G205" s="90"/>
      <c r="H205" s="90"/>
      <c r="I205" s="83">
        <v>7719</v>
      </c>
      <c r="J205" s="83"/>
      <c r="K205" s="83"/>
      <c r="L205" s="83"/>
      <c r="M205" s="83"/>
      <c r="N205" s="83">
        <v>14.52</v>
      </c>
    </row>
    <row r="206" spans="1:14" ht="24">
      <c r="A206" s="89" t="s">
        <v>72</v>
      </c>
      <c r="B206" s="90"/>
      <c r="C206" s="90"/>
      <c r="D206" s="90"/>
      <c r="E206" s="90"/>
      <c r="F206" s="90"/>
      <c r="G206" s="90"/>
      <c r="H206" s="90"/>
      <c r="I206" s="83">
        <v>488849</v>
      </c>
      <c r="J206" s="83"/>
      <c r="K206" s="83"/>
      <c r="L206" s="83"/>
      <c r="M206" s="83"/>
      <c r="N206" s="83" t="s">
        <v>211</v>
      </c>
    </row>
    <row r="207" spans="1:14" ht="24">
      <c r="A207" s="89" t="s">
        <v>74</v>
      </c>
      <c r="B207" s="90"/>
      <c r="C207" s="90"/>
      <c r="D207" s="90"/>
      <c r="E207" s="90"/>
      <c r="F207" s="90"/>
      <c r="G207" s="90"/>
      <c r="H207" s="90"/>
      <c r="I207" s="83">
        <v>1233</v>
      </c>
      <c r="J207" s="83"/>
      <c r="K207" s="83"/>
      <c r="L207" s="83"/>
      <c r="M207" s="83"/>
      <c r="N207" s="83" t="s">
        <v>75</v>
      </c>
    </row>
    <row r="208" spans="1:14" ht="12">
      <c r="A208" s="89" t="s">
        <v>76</v>
      </c>
      <c r="B208" s="90"/>
      <c r="C208" s="90"/>
      <c r="D208" s="90"/>
      <c r="E208" s="90"/>
      <c r="F208" s="90"/>
      <c r="G208" s="90"/>
      <c r="H208" s="90"/>
      <c r="I208" s="83">
        <v>90</v>
      </c>
      <c r="J208" s="83"/>
      <c r="K208" s="83"/>
      <c r="L208" s="83"/>
      <c r="M208" s="83"/>
      <c r="N208" s="83">
        <v>0.14</v>
      </c>
    </row>
    <row r="209" spans="1:14" ht="24" customHeight="1">
      <c r="A209" s="89" t="s">
        <v>117</v>
      </c>
      <c r="B209" s="90"/>
      <c r="C209" s="90"/>
      <c r="D209" s="90"/>
      <c r="E209" s="90"/>
      <c r="F209" s="90"/>
      <c r="G209" s="90"/>
      <c r="H209" s="90"/>
      <c r="I209" s="83">
        <v>45752</v>
      </c>
      <c r="J209" s="83"/>
      <c r="K209" s="83"/>
      <c r="L209" s="83"/>
      <c r="M209" s="83"/>
      <c r="N209" s="83" t="s">
        <v>86</v>
      </c>
    </row>
    <row r="210" spans="1:14" ht="24">
      <c r="A210" s="89" t="s">
        <v>609</v>
      </c>
      <c r="B210" s="90"/>
      <c r="C210" s="90"/>
      <c r="D210" s="90"/>
      <c r="E210" s="90"/>
      <c r="F210" s="90"/>
      <c r="G210" s="90"/>
      <c r="H210" s="90"/>
      <c r="I210" s="83">
        <v>1743263</v>
      </c>
      <c r="J210" s="83"/>
      <c r="K210" s="83"/>
      <c r="L210" s="83"/>
      <c r="M210" s="83"/>
      <c r="N210" s="83" t="s">
        <v>204</v>
      </c>
    </row>
    <row r="211" spans="1:14" ht="12">
      <c r="A211" s="89" t="s">
        <v>610</v>
      </c>
      <c r="B211" s="90"/>
      <c r="C211" s="90"/>
      <c r="D211" s="90"/>
      <c r="E211" s="90"/>
      <c r="F211" s="90"/>
      <c r="G211" s="90"/>
      <c r="H211" s="90"/>
      <c r="I211" s="83"/>
      <c r="J211" s="83"/>
      <c r="K211" s="83"/>
      <c r="L211" s="83"/>
      <c r="M211" s="83"/>
      <c r="N211" s="83"/>
    </row>
    <row r="212" spans="1:14" ht="12">
      <c r="A212" s="89" t="s">
        <v>611</v>
      </c>
      <c r="B212" s="90"/>
      <c r="C212" s="90"/>
      <c r="D212" s="90"/>
      <c r="E212" s="90"/>
      <c r="F212" s="90"/>
      <c r="G212" s="90"/>
      <c r="H212" s="90"/>
      <c r="I212" s="83">
        <v>898568</v>
      </c>
      <c r="J212" s="83"/>
      <c r="K212" s="83"/>
      <c r="L212" s="83"/>
      <c r="M212" s="83"/>
      <c r="N212" s="83"/>
    </row>
    <row r="213" spans="1:14" ht="12">
      <c r="A213" s="89" t="s">
        <v>612</v>
      </c>
      <c r="B213" s="90"/>
      <c r="C213" s="90"/>
      <c r="D213" s="90"/>
      <c r="E213" s="90"/>
      <c r="F213" s="90"/>
      <c r="G213" s="90"/>
      <c r="H213" s="90"/>
      <c r="I213" s="83">
        <v>151444</v>
      </c>
      <c r="J213" s="83"/>
      <c r="K213" s="83"/>
      <c r="L213" s="83"/>
      <c r="M213" s="83"/>
      <c r="N213" s="83"/>
    </row>
    <row r="214" spans="1:14" ht="12">
      <c r="A214" s="89" t="s">
        <v>613</v>
      </c>
      <c r="B214" s="90"/>
      <c r="C214" s="90"/>
      <c r="D214" s="90"/>
      <c r="E214" s="90"/>
      <c r="F214" s="90"/>
      <c r="G214" s="90"/>
      <c r="H214" s="90"/>
      <c r="I214" s="83">
        <v>285110</v>
      </c>
      <c r="J214" s="83"/>
      <c r="K214" s="83"/>
      <c r="L214" s="83"/>
      <c r="M214" s="83"/>
      <c r="N214" s="83"/>
    </row>
    <row r="215" spans="1:14" ht="12">
      <c r="A215" s="89" t="s">
        <v>614</v>
      </c>
      <c r="B215" s="90"/>
      <c r="C215" s="90"/>
      <c r="D215" s="90"/>
      <c r="E215" s="90"/>
      <c r="F215" s="90"/>
      <c r="G215" s="90"/>
      <c r="H215" s="90"/>
      <c r="I215" s="83">
        <v>282959</v>
      </c>
      <c r="J215" s="83"/>
      <c r="K215" s="83"/>
      <c r="L215" s="83"/>
      <c r="M215" s="83"/>
      <c r="N215" s="83"/>
    </row>
    <row r="216" spans="1:14" ht="12">
      <c r="A216" s="89" t="s">
        <v>615</v>
      </c>
      <c r="B216" s="90"/>
      <c r="C216" s="90"/>
      <c r="D216" s="90"/>
      <c r="E216" s="90"/>
      <c r="F216" s="90"/>
      <c r="G216" s="90"/>
      <c r="H216" s="90"/>
      <c r="I216" s="83">
        <v>129820</v>
      </c>
      <c r="J216" s="83"/>
      <c r="K216" s="83"/>
      <c r="L216" s="83"/>
      <c r="M216" s="83"/>
      <c r="N216" s="83"/>
    </row>
    <row r="217" spans="1:14" ht="24">
      <c r="A217" s="91" t="s">
        <v>212</v>
      </c>
      <c r="B217" s="92"/>
      <c r="C217" s="92"/>
      <c r="D217" s="92"/>
      <c r="E217" s="92"/>
      <c r="F217" s="92"/>
      <c r="G217" s="92"/>
      <c r="H217" s="92"/>
      <c r="I217" s="83">
        <v>1743263</v>
      </c>
      <c r="J217" s="83"/>
      <c r="K217" s="83"/>
      <c r="L217" s="83"/>
      <c r="M217" s="83"/>
      <c r="N217" s="83" t="s">
        <v>204</v>
      </c>
    </row>
    <row r="218" spans="1:13" ht="12">
      <c r="A218" s="84"/>
      <c r="B218" s="85"/>
      <c r="C218" s="85"/>
      <c r="D218" s="84"/>
      <c r="E218" s="73"/>
      <c r="F218" s="73"/>
      <c r="G218" s="73"/>
      <c r="H218" s="73"/>
      <c r="I218" s="86"/>
      <c r="J218" s="73"/>
      <c r="K218" s="73"/>
      <c r="L218" s="73"/>
      <c r="M218" s="73"/>
    </row>
    <row r="219" spans="1:13" ht="12">
      <c r="A219" s="84"/>
      <c r="B219" s="85"/>
      <c r="C219" s="85"/>
      <c r="D219" s="84"/>
      <c r="E219" s="73"/>
      <c r="F219" s="73"/>
      <c r="G219" s="73"/>
      <c r="H219" s="73"/>
      <c r="I219" s="86"/>
      <c r="J219" s="73"/>
      <c r="K219" s="73"/>
      <c r="L219" s="73"/>
      <c r="M219" s="73"/>
    </row>
    <row r="220" spans="1:13" ht="12">
      <c r="A220" s="84"/>
      <c r="B220" s="85"/>
      <c r="C220" s="87" t="s">
        <v>717</v>
      </c>
      <c r="D220" s="84"/>
      <c r="E220" s="73"/>
      <c r="F220" s="87" t="s">
        <v>718</v>
      </c>
      <c r="G220" s="87"/>
      <c r="H220" s="87"/>
      <c r="I220" s="73"/>
      <c r="J220" s="73"/>
      <c r="K220" s="73"/>
      <c r="L220" s="73"/>
      <c r="M220" s="73"/>
    </row>
    <row r="231" ht="12"/>
    <row r="232" ht="12"/>
    <row r="233" ht="12"/>
    <row r="234" ht="12"/>
    <row r="236" ht="12"/>
    <row r="237" ht="12"/>
    <row r="238" ht="12"/>
    <row r="239" ht="12"/>
    <row r="240" ht="12"/>
    <row r="241" ht="12"/>
    <row r="242" ht="12"/>
  </sheetData>
  <sheetProtection/>
  <mergeCells count="135"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20:N20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N52"/>
    <mergeCell ref="A53:N53"/>
    <mergeCell ref="A70:N70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N116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A134:H134"/>
    <mergeCell ref="A135:H135"/>
    <mergeCell ref="A136:H136"/>
    <mergeCell ref="A137:H137"/>
    <mergeCell ref="A138:H138"/>
    <mergeCell ref="A139:H139"/>
    <mergeCell ref="A140:H140"/>
    <mergeCell ref="A141:H141"/>
    <mergeCell ref="A142:N142"/>
    <mergeCell ref="A156:H156"/>
    <mergeCell ref="A157:H157"/>
    <mergeCell ref="A158:H158"/>
    <mergeCell ref="A159:H159"/>
    <mergeCell ref="A160:H160"/>
    <mergeCell ref="A161:H161"/>
    <mergeCell ref="A162:H162"/>
    <mergeCell ref="A163:H163"/>
    <mergeCell ref="A164:H164"/>
    <mergeCell ref="A165:H165"/>
    <mergeCell ref="A166:H166"/>
    <mergeCell ref="A167:H167"/>
    <mergeCell ref="A168:H168"/>
    <mergeCell ref="A169:H169"/>
    <mergeCell ref="A170:H170"/>
    <mergeCell ref="A171:H171"/>
    <mergeCell ref="A172:H172"/>
    <mergeCell ref="A173:H173"/>
    <mergeCell ref="A174:N174"/>
    <mergeCell ref="A183:H183"/>
    <mergeCell ref="A184:H184"/>
    <mergeCell ref="A185:H185"/>
    <mergeCell ref="A186:H186"/>
    <mergeCell ref="A187:H187"/>
    <mergeCell ref="A188:H188"/>
    <mergeCell ref="A189:H189"/>
    <mergeCell ref="A190:H190"/>
    <mergeCell ref="A191:H191"/>
    <mergeCell ref="A192:H192"/>
    <mergeCell ref="A193:H193"/>
    <mergeCell ref="A194:H194"/>
    <mergeCell ref="A195:H195"/>
    <mergeCell ref="A196:H196"/>
    <mergeCell ref="A197:H197"/>
    <mergeCell ref="A198:H198"/>
    <mergeCell ref="A199:H199"/>
    <mergeCell ref="A200:H200"/>
    <mergeCell ref="A201:H201"/>
    <mergeCell ref="A202:H202"/>
    <mergeCell ref="A203:H203"/>
    <mergeCell ref="A204:H204"/>
    <mergeCell ref="A205:H205"/>
    <mergeCell ref="A206:H206"/>
    <mergeCell ref="A207:H207"/>
    <mergeCell ref="A208:H208"/>
    <mergeCell ref="J11:M13"/>
    <mergeCell ref="A209:H209"/>
    <mergeCell ref="A210:H210"/>
    <mergeCell ref="A211:H211"/>
    <mergeCell ref="A212:H212"/>
    <mergeCell ref="A217:H217"/>
    <mergeCell ref="A213:H213"/>
    <mergeCell ref="A214:H214"/>
    <mergeCell ref="A215:H215"/>
    <mergeCell ref="A216:H216"/>
  </mergeCells>
  <printOptions/>
  <pageMargins left="0.2362204724409449" right="0.1968503937007874" top="0.4724409448818898" bottom="0.2755905511811024" header="0.2755905511811024" footer="0.1968503937007874"/>
  <pageSetup horizontalDpi="600" verticalDpi="600" orientation="landscape" paperSize="9" scale="87" r:id="rId3"/>
  <rowBreaks count="1" manualBreakCount="1">
    <brk id="185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3" t="s">
        <v>451</v>
      </c>
      <c r="B1" s="114"/>
      <c r="C1" s="114"/>
      <c r="D1" s="114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389</v>
      </c>
      <c r="B4" s="17" t="s">
        <v>452</v>
      </c>
      <c r="C4" s="17" t="s">
        <v>389</v>
      </c>
      <c r="D4" s="18" t="s">
        <v>453</v>
      </c>
      <c r="E4" s="17" t="s">
        <v>389</v>
      </c>
      <c r="F4" s="19" t="s">
        <v>469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470</v>
      </c>
      <c r="C6" s="25">
        <v>1</v>
      </c>
      <c r="D6" s="27" t="s">
        <v>267</v>
      </c>
      <c r="E6" s="23">
        <v>1</v>
      </c>
      <c r="F6" s="24" t="s">
        <v>471</v>
      </c>
    </row>
    <row r="7" spans="1:6" ht="12.75">
      <c r="A7" s="25"/>
      <c r="B7" s="28"/>
      <c r="C7" s="25">
        <v>2</v>
      </c>
      <c r="D7" s="29" t="s">
        <v>390</v>
      </c>
      <c r="E7" s="23">
        <v>2</v>
      </c>
      <c r="F7" s="24" t="s">
        <v>472</v>
      </c>
    </row>
    <row r="8" spans="1:6" ht="12.75">
      <c r="A8" s="25">
        <v>1</v>
      </c>
      <c r="B8" s="30" t="s">
        <v>303</v>
      </c>
      <c r="C8" s="25">
        <v>3</v>
      </c>
      <c r="D8" s="29" t="s">
        <v>391</v>
      </c>
      <c r="E8" s="23">
        <v>3</v>
      </c>
      <c r="F8" s="24" t="s">
        <v>473</v>
      </c>
    </row>
    <row r="9" spans="1:6" ht="12.75">
      <c r="A9" s="31">
        <v>2</v>
      </c>
      <c r="B9" s="32" t="s">
        <v>304</v>
      </c>
      <c r="C9" s="25">
        <v>4</v>
      </c>
      <c r="D9" s="29" t="s">
        <v>392</v>
      </c>
      <c r="E9" s="23">
        <v>4</v>
      </c>
      <c r="F9" s="24" t="s">
        <v>474</v>
      </c>
    </row>
    <row r="10" spans="1:6" ht="12.75">
      <c r="A10" s="25">
        <v>3</v>
      </c>
      <c r="B10" s="30" t="s">
        <v>305</v>
      </c>
      <c r="C10" s="25">
        <v>5</v>
      </c>
      <c r="D10" s="29" t="s">
        <v>393</v>
      </c>
      <c r="E10" s="23">
        <v>5</v>
      </c>
      <c r="F10" s="24" t="s">
        <v>475</v>
      </c>
    </row>
    <row r="11" spans="1:6" ht="12.75">
      <c r="A11" s="31">
        <v>4</v>
      </c>
      <c r="B11" s="32" t="s">
        <v>306</v>
      </c>
      <c r="C11" s="25">
        <v>6</v>
      </c>
      <c r="D11" s="29" t="s">
        <v>394</v>
      </c>
      <c r="E11" s="23">
        <v>6</v>
      </c>
      <c r="F11" s="24" t="s">
        <v>476</v>
      </c>
    </row>
    <row r="12" spans="1:6" ht="12.75">
      <c r="A12" s="25">
        <v>5</v>
      </c>
      <c r="B12" s="32" t="s">
        <v>487</v>
      </c>
      <c r="D12" s="29"/>
      <c r="E12" s="23">
        <v>7</v>
      </c>
      <c r="F12" s="24" t="s">
        <v>477</v>
      </c>
    </row>
    <row r="13" spans="1:6" ht="12.75">
      <c r="A13" s="31">
        <v>6</v>
      </c>
      <c r="B13" s="32" t="s">
        <v>488</v>
      </c>
      <c r="C13" s="25">
        <v>7</v>
      </c>
      <c r="D13" s="27" t="s">
        <v>230</v>
      </c>
      <c r="E13" s="23">
        <v>8</v>
      </c>
      <c r="F13" s="24" t="s">
        <v>478</v>
      </c>
    </row>
    <row r="14" spans="1:6" ht="12.75">
      <c r="A14" s="25">
        <v>7</v>
      </c>
      <c r="B14" s="32" t="s">
        <v>489</v>
      </c>
      <c r="C14" s="25">
        <v>8</v>
      </c>
      <c r="D14" s="29" t="s">
        <v>395</v>
      </c>
      <c r="E14" s="23"/>
      <c r="F14" s="24"/>
    </row>
    <row r="15" spans="1:6" ht="12.75">
      <c r="A15" s="31">
        <v>8</v>
      </c>
      <c r="B15" s="32" t="s">
        <v>490</v>
      </c>
      <c r="C15" s="25">
        <v>9</v>
      </c>
      <c r="D15" s="29" t="s">
        <v>396</v>
      </c>
      <c r="E15" s="23"/>
      <c r="F15" s="24"/>
    </row>
    <row r="16" spans="1:6" ht="12.75">
      <c r="A16" s="25">
        <v>9</v>
      </c>
      <c r="B16" s="32" t="s">
        <v>491</v>
      </c>
      <c r="C16" s="25">
        <v>10</v>
      </c>
      <c r="D16" s="29" t="s">
        <v>397</v>
      </c>
      <c r="E16" s="23"/>
      <c r="F16" s="24"/>
    </row>
    <row r="17" spans="1:6" ht="12.75">
      <c r="A17" s="31">
        <v>10</v>
      </c>
      <c r="B17" s="32" t="s">
        <v>492</v>
      </c>
      <c r="C17" s="25">
        <v>11</v>
      </c>
      <c r="D17" s="29" t="s">
        <v>398</v>
      </c>
      <c r="E17" s="23"/>
      <c r="F17" s="24"/>
    </row>
    <row r="18" spans="1:6" ht="12.75">
      <c r="A18" s="25">
        <v>11</v>
      </c>
      <c r="B18" s="32" t="s">
        <v>493</v>
      </c>
      <c r="C18" s="25">
        <v>12</v>
      </c>
      <c r="D18" s="29" t="s">
        <v>399</v>
      </c>
      <c r="E18" s="23"/>
      <c r="F18" s="24"/>
    </row>
    <row r="19" spans="1:6" ht="12.75">
      <c r="A19" s="25">
        <v>12</v>
      </c>
      <c r="B19" s="32" t="s">
        <v>307</v>
      </c>
      <c r="D19" s="29"/>
      <c r="E19" s="23"/>
      <c r="F19" s="24"/>
    </row>
    <row r="20" spans="1:6" ht="12.75">
      <c r="A20" s="25">
        <v>13</v>
      </c>
      <c r="B20" s="30" t="s">
        <v>308</v>
      </c>
      <c r="C20" s="25">
        <v>13</v>
      </c>
      <c r="D20" s="27" t="s">
        <v>227</v>
      </c>
      <c r="E20" s="23"/>
      <c r="F20" s="24"/>
    </row>
    <row r="21" spans="1:6" ht="12.75">
      <c r="A21" s="25">
        <v>14</v>
      </c>
      <c r="B21" s="30" t="s">
        <v>309</v>
      </c>
      <c r="C21" s="25">
        <v>14</v>
      </c>
      <c r="D21" s="29" t="s">
        <v>400</v>
      </c>
      <c r="E21" s="23"/>
      <c r="F21" s="24"/>
    </row>
    <row r="22" spans="1:6" ht="12.75">
      <c r="A22" s="25">
        <v>15</v>
      </c>
      <c r="B22" s="30" t="s">
        <v>310</v>
      </c>
      <c r="C22" s="25">
        <v>15</v>
      </c>
      <c r="D22" s="29" t="s">
        <v>401</v>
      </c>
      <c r="E22" s="23"/>
      <c r="F22" s="24"/>
    </row>
    <row r="23" spans="1:6" ht="12.75">
      <c r="A23" s="25">
        <v>16</v>
      </c>
      <c r="B23" s="30" t="s">
        <v>479</v>
      </c>
      <c r="C23" s="25">
        <v>16</v>
      </c>
      <c r="D23" s="29" t="s">
        <v>402</v>
      </c>
      <c r="E23" s="23"/>
      <c r="F23" s="24"/>
    </row>
    <row r="24" spans="1:6" ht="12.75">
      <c r="A24" s="25">
        <v>17</v>
      </c>
      <c r="B24" s="30" t="s">
        <v>480</v>
      </c>
      <c r="C24" s="25">
        <v>17</v>
      </c>
      <c r="D24" s="29" t="s">
        <v>403</v>
      </c>
      <c r="E24" s="23"/>
      <c r="F24" s="24"/>
    </row>
    <row r="25" spans="1:6" ht="12.75">
      <c r="A25" s="25">
        <v>18</v>
      </c>
      <c r="B25" s="30" t="s">
        <v>481</v>
      </c>
      <c r="C25" s="25">
        <v>18</v>
      </c>
      <c r="D25" s="29" t="s">
        <v>404</v>
      </c>
      <c r="E25" s="23"/>
      <c r="F25" s="24"/>
    </row>
    <row r="26" spans="1:6" ht="12.75">
      <c r="A26" s="25">
        <v>19</v>
      </c>
      <c r="B26" s="32" t="s">
        <v>311</v>
      </c>
      <c r="D26" s="29"/>
      <c r="E26" s="23"/>
      <c r="F26" s="24"/>
    </row>
    <row r="27" spans="1:6" ht="12.75">
      <c r="A27" s="25">
        <v>20</v>
      </c>
      <c r="B27" s="30" t="s">
        <v>312</v>
      </c>
      <c r="C27" s="25">
        <v>19</v>
      </c>
      <c r="D27" s="27" t="s">
        <v>228</v>
      </c>
      <c r="E27" s="23"/>
      <c r="F27" s="24"/>
    </row>
    <row r="28" spans="1:6" ht="12.75">
      <c r="A28" s="25">
        <v>21</v>
      </c>
      <c r="B28" s="30" t="s">
        <v>313</v>
      </c>
      <c r="C28" s="25">
        <v>20</v>
      </c>
      <c r="D28" s="29" t="s">
        <v>405</v>
      </c>
      <c r="E28" s="23"/>
      <c r="F28" s="24"/>
    </row>
    <row r="29" spans="1:6" ht="12.75">
      <c r="A29" s="25">
        <v>22</v>
      </c>
      <c r="B29" s="30" t="s">
        <v>314</v>
      </c>
      <c r="C29" s="25">
        <v>21</v>
      </c>
      <c r="D29" s="29" t="s">
        <v>406</v>
      </c>
      <c r="E29" s="23"/>
      <c r="F29" s="24"/>
    </row>
    <row r="30" spans="1:6" ht="12.75">
      <c r="A30" s="25">
        <v>23</v>
      </c>
      <c r="B30" s="30" t="s">
        <v>315</v>
      </c>
      <c r="C30" s="25">
        <v>22</v>
      </c>
      <c r="D30" s="29" t="s">
        <v>407</v>
      </c>
      <c r="E30" s="23"/>
      <c r="F30" s="24"/>
    </row>
    <row r="31" spans="1:6" ht="12.75">
      <c r="A31" s="25">
        <v>24</v>
      </c>
      <c r="B31" s="32" t="s">
        <v>316</v>
      </c>
      <c r="C31" s="25">
        <v>23</v>
      </c>
      <c r="D31" s="29" t="s">
        <v>408</v>
      </c>
      <c r="E31" s="23"/>
      <c r="F31" s="24"/>
    </row>
    <row r="32" spans="1:6" ht="12.75">
      <c r="A32" s="25">
        <v>25</v>
      </c>
      <c r="B32" s="32" t="s">
        <v>317</v>
      </c>
      <c r="C32" s="25">
        <v>24</v>
      </c>
      <c r="D32" s="29" t="s">
        <v>409</v>
      </c>
      <c r="E32" s="23"/>
      <c r="F32" s="24"/>
    </row>
    <row r="33" spans="1:6" ht="12.75">
      <c r="A33" s="25">
        <v>26</v>
      </c>
      <c r="B33" s="32" t="s">
        <v>318</v>
      </c>
      <c r="D33" s="29"/>
      <c r="E33" s="23"/>
      <c r="F33" s="24"/>
    </row>
    <row r="34" spans="1:6" ht="12.75">
      <c r="A34" s="25">
        <v>27</v>
      </c>
      <c r="B34" s="32" t="s">
        <v>319</v>
      </c>
      <c r="C34" s="25">
        <v>25</v>
      </c>
      <c r="D34" s="27" t="s">
        <v>229</v>
      </c>
      <c r="E34" s="23"/>
      <c r="F34" s="24"/>
    </row>
    <row r="35" spans="1:6" ht="12.75">
      <c r="A35" s="25">
        <v>28</v>
      </c>
      <c r="B35" s="32" t="s">
        <v>320</v>
      </c>
      <c r="C35" s="25">
        <v>26</v>
      </c>
      <c r="D35" s="29" t="s">
        <v>410</v>
      </c>
      <c r="E35" s="23"/>
      <c r="F35" s="24"/>
    </row>
    <row r="36" spans="1:6" ht="12.75">
      <c r="A36" s="25">
        <v>29</v>
      </c>
      <c r="B36" s="32" t="s">
        <v>321</v>
      </c>
      <c r="C36" s="25">
        <v>27</v>
      </c>
      <c r="D36" s="29" t="s">
        <v>411</v>
      </c>
      <c r="E36" s="23"/>
      <c r="F36" s="24"/>
    </row>
    <row r="37" spans="1:6" ht="12.75">
      <c r="A37" s="25">
        <v>30</v>
      </c>
      <c r="B37" s="32" t="s">
        <v>322</v>
      </c>
      <c r="C37" s="25">
        <v>28</v>
      </c>
      <c r="D37" s="29" t="s">
        <v>412</v>
      </c>
      <c r="E37" s="23"/>
      <c r="F37" s="24"/>
    </row>
    <row r="38" spans="1:6" ht="12.75">
      <c r="A38" s="25">
        <v>31</v>
      </c>
      <c r="B38" s="30" t="s">
        <v>323</v>
      </c>
      <c r="C38" s="25">
        <v>29</v>
      </c>
      <c r="D38" s="29" t="s">
        <v>413</v>
      </c>
      <c r="E38" s="23"/>
      <c r="F38" s="24"/>
    </row>
    <row r="39" spans="1:6" ht="12.75">
      <c r="A39" s="25">
        <v>32</v>
      </c>
      <c r="B39" s="32" t="s">
        <v>454</v>
      </c>
      <c r="C39" s="25">
        <v>30</v>
      </c>
      <c r="D39" s="29" t="s">
        <v>414</v>
      </c>
      <c r="E39" s="23"/>
      <c r="F39" s="24"/>
    </row>
    <row r="40" spans="1:6" ht="12.75">
      <c r="A40" s="25">
        <v>33</v>
      </c>
      <c r="B40" s="30" t="s">
        <v>324</v>
      </c>
      <c r="D40" s="29"/>
      <c r="E40" s="23"/>
      <c r="F40" s="24"/>
    </row>
    <row r="41" spans="1:6" ht="12.75">
      <c r="A41" s="25">
        <v>34</v>
      </c>
      <c r="B41" s="30" t="s">
        <v>325</v>
      </c>
      <c r="C41" s="25">
        <v>31</v>
      </c>
      <c r="D41" s="27" t="s">
        <v>233</v>
      </c>
      <c r="E41" s="23"/>
      <c r="F41" s="24"/>
    </row>
    <row r="42" spans="1:6" ht="12.75">
      <c r="A42" s="25">
        <v>35</v>
      </c>
      <c r="B42" s="30" t="s">
        <v>326</v>
      </c>
      <c r="C42" s="25">
        <v>32</v>
      </c>
      <c r="D42" s="29" t="s">
        <v>415</v>
      </c>
      <c r="E42" s="23"/>
      <c r="F42" s="24"/>
    </row>
    <row r="43" spans="1:6" ht="12.75">
      <c r="A43" s="25">
        <v>36</v>
      </c>
      <c r="B43" s="30" t="s">
        <v>327</v>
      </c>
      <c r="C43" s="25">
        <v>33</v>
      </c>
      <c r="D43" s="29" t="s">
        <v>416</v>
      </c>
      <c r="E43" s="23"/>
      <c r="F43" s="24"/>
    </row>
    <row r="44" spans="1:6" ht="12.75">
      <c r="A44" s="25">
        <v>37</v>
      </c>
      <c r="B44" s="30" t="s">
        <v>328</v>
      </c>
      <c r="C44" s="25">
        <v>34</v>
      </c>
      <c r="D44" s="29" t="s">
        <v>417</v>
      </c>
      <c r="E44" s="23"/>
      <c r="F44" s="24"/>
    </row>
    <row r="45" spans="1:6" ht="12.75">
      <c r="A45" s="25">
        <v>38</v>
      </c>
      <c r="B45" s="30" t="s">
        <v>329</v>
      </c>
      <c r="C45" s="25">
        <v>35</v>
      </c>
      <c r="D45" s="29" t="s">
        <v>418</v>
      </c>
      <c r="E45" s="23"/>
      <c r="F45" s="24"/>
    </row>
    <row r="46" spans="1:6" ht="12.75">
      <c r="A46" s="25">
        <v>39</v>
      </c>
      <c r="B46" s="30" t="s">
        <v>330</v>
      </c>
      <c r="C46" s="25">
        <v>36</v>
      </c>
      <c r="D46" s="29" t="s">
        <v>419</v>
      </c>
      <c r="E46" s="23"/>
      <c r="F46" s="24"/>
    </row>
    <row r="47" spans="1:6" ht="12.75">
      <c r="A47" s="25">
        <v>40</v>
      </c>
      <c r="B47" s="30" t="s">
        <v>331</v>
      </c>
      <c r="C47" s="45"/>
      <c r="D47" s="29"/>
      <c r="E47" s="23"/>
      <c r="F47" s="24"/>
    </row>
    <row r="48" spans="1:6" ht="12.75">
      <c r="A48" s="25">
        <v>41</v>
      </c>
      <c r="B48" s="30" t="s">
        <v>332</v>
      </c>
      <c r="C48" s="25">
        <v>37</v>
      </c>
      <c r="D48" s="27" t="s">
        <v>232</v>
      </c>
      <c r="E48" s="23"/>
      <c r="F48" s="24"/>
    </row>
    <row r="49" spans="1:6" ht="12.75">
      <c r="A49" s="25">
        <v>42</v>
      </c>
      <c r="B49" s="32" t="s">
        <v>333</v>
      </c>
      <c r="C49" s="25">
        <v>38</v>
      </c>
      <c r="D49" s="29" t="s">
        <v>420</v>
      </c>
      <c r="E49" s="23"/>
      <c r="F49" s="24"/>
    </row>
    <row r="50" spans="1:6" ht="12.75">
      <c r="A50" s="25">
        <v>43</v>
      </c>
      <c r="B50" s="30" t="s">
        <v>334</v>
      </c>
      <c r="C50" s="25">
        <v>39</v>
      </c>
      <c r="D50" s="29" t="s">
        <v>421</v>
      </c>
      <c r="E50" s="23"/>
      <c r="F50" s="24"/>
    </row>
    <row r="51" spans="1:6" ht="12.75">
      <c r="A51" s="25">
        <v>44</v>
      </c>
      <c r="B51" s="30" t="s">
        <v>335</v>
      </c>
      <c r="C51" s="25">
        <v>40</v>
      </c>
      <c r="D51" s="29" t="s">
        <v>422</v>
      </c>
      <c r="E51" s="23"/>
      <c r="F51" s="24"/>
    </row>
    <row r="52" spans="1:6" ht="12.75">
      <c r="A52" s="25">
        <v>45</v>
      </c>
      <c r="B52" s="30" t="s">
        <v>336</v>
      </c>
      <c r="C52" s="25">
        <v>41</v>
      </c>
      <c r="D52" s="29" t="s">
        <v>423</v>
      </c>
      <c r="E52" s="23"/>
      <c r="F52" s="24"/>
    </row>
    <row r="53" spans="1:6" ht="12.75">
      <c r="A53" s="25">
        <v>46</v>
      </c>
      <c r="B53" s="30" t="s">
        <v>337</v>
      </c>
      <c r="C53" s="25">
        <v>42</v>
      </c>
      <c r="D53" s="29" t="s">
        <v>424</v>
      </c>
      <c r="E53" s="23"/>
      <c r="F53" s="24"/>
    </row>
    <row r="54" spans="1:6" ht="12.75">
      <c r="A54" s="25">
        <v>47</v>
      </c>
      <c r="B54" s="30" t="s">
        <v>494</v>
      </c>
      <c r="D54" s="29"/>
      <c r="E54" s="23"/>
      <c r="F54" s="24"/>
    </row>
    <row r="55" spans="1:6" ht="12.75">
      <c r="A55" s="25">
        <v>48</v>
      </c>
      <c r="B55" s="30" t="s">
        <v>495</v>
      </c>
      <c r="C55" s="25">
        <v>43</v>
      </c>
      <c r="D55" s="27" t="s">
        <v>231</v>
      </c>
      <c r="E55" s="23"/>
      <c r="F55" s="24"/>
    </row>
    <row r="56" spans="1:6" ht="12.75">
      <c r="A56" s="25">
        <v>49</v>
      </c>
      <c r="B56" s="30" t="s">
        <v>496</v>
      </c>
      <c r="C56" s="25">
        <v>44</v>
      </c>
      <c r="D56" s="29" t="s">
        <v>425</v>
      </c>
      <c r="E56" s="23"/>
      <c r="F56" s="24"/>
    </row>
    <row r="57" spans="1:6" ht="12.75">
      <c r="A57" s="25">
        <v>50</v>
      </c>
      <c r="B57" s="30" t="s">
        <v>497</v>
      </c>
      <c r="C57" s="25">
        <v>45</v>
      </c>
      <c r="D57" s="29" t="s">
        <v>426</v>
      </c>
      <c r="E57" s="23"/>
      <c r="F57" s="24"/>
    </row>
    <row r="58" spans="1:6" ht="12.75">
      <c r="A58" s="25">
        <v>51</v>
      </c>
      <c r="B58" s="30" t="s">
        <v>498</v>
      </c>
      <c r="C58" s="25">
        <v>46</v>
      </c>
      <c r="D58" s="29" t="s">
        <v>427</v>
      </c>
      <c r="E58" s="23"/>
      <c r="F58" s="24"/>
    </row>
    <row r="59" spans="1:6" ht="12.75">
      <c r="A59" s="25">
        <v>52</v>
      </c>
      <c r="B59" s="30" t="s">
        <v>499</v>
      </c>
      <c r="C59" s="25">
        <v>47</v>
      </c>
      <c r="D59" s="29" t="s">
        <v>428</v>
      </c>
      <c r="E59" s="23"/>
      <c r="F59" s="24"/>
    </row>
    <row r="60" spans="1:6" ht="12.75">
      <c r="A60" s="25">
        <v>53</v>
      </c>
      <c r="B60" s="30" t="s">
        <v>500</v>
      </c>
      <c r="C60" s="25">
        <v>48</v>
      </c>
      <c r="D60" s="29" t="s">
        <v>429</v>
      </c>
      <c r="E60" s="23"/>
      <c r="F60" s="24"/>
    </row>
    <row r="61" spans="1:6" ht="12.75">
      <c r="A61" s="25">
        <v>54</v>
      </c>
      <c r="B61" s="30" t="s">
        <v>501</v>
      </c>
      <c r="D61" s="29"/>
      <c r="E61" s="23"/>
      <c r="F61" s="24"/>
    </row>
    <row r="62" spans="1:6" ht="12.75">
      <c r="A62" s="25">
        <v>55</v>
      </c>
      <c r="B62" s="30" t="s">
        <v>502</v>
      </c>
      <c r="C62" s="25">
        <v>49</v>
      </c>
      <c r="D62" s="27" t="s">
        <v>430</v>
      </c>
      <c r="E62" s="23"/>
      <c r="F62" s="24"/>
    </row>
    <row r="63" spans="1:6" ht="12.75">
      <c r="A63" s="25">
        <v>56</v>
      </c>
      <c r="B63" s="30" t="s">
        <v>503</v>
      </c>
      <c r="C63" s="25">
        <v>50</v>
      </c>
      <c r="D63" s="33" t="s">
        <v>431</v>
      </c>
      <c r="E63" s="23"/>
      <c r="F63" s="24"/>
    </row>
    <row r="64" spans="1:6" ht="14.25" customHeight="1">
      <c r="A64" s="25">
        <v>57</v>
      </c>
      <c r="B64" s="30" t="s">
        <v>504</v>
      </c>
      <c r="C64" s="25">
        <v>51</v>
      </c>
      <c r="D64" s="33" t="s">
        <v>224</v>
      </c>
      <c r="E64" s="23"/>
      <c r="F64" s="24"/>
    </row>
    <row r="65" spans="1:6" ht="12.75">
      <c r="A65" s="25">
        <v>58</v>
      </c>
      <c r="B65" s="30" t="s">
        <v>505</v>
      </c>
      <c r="C65" s="25">
        <v>52</v>
      </c>
      <c r="D65" s="33" t="s">
        <v>225</v>
      </c>
      <c r="E65" s="23"/>
      <c r="F65" s="24"/>
    </row>
    <row r="66" spans="1:6" ht="12.75">
      <c r="A66" s="25">
        <v>59</v>
      </c>
      <c r="B66" s="30" t="s">
        <v>506</v>
      </c>
      <c r="C66" s="25">
        <v>53</v>
      </c>
      <c r="D66" s="33" t="s">
        <v>226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482</v>
      </c>
      <c r="C68" s="25">
        <v>54</v>
      </c>
      <c r="D68" s="27" t="s">
        <v>236</v>
      </c>
      <c r="E68" s="23"/>
      <c r="F68" s="24"/>
    </row>
    <row r="69" spans="1:6" ht="12.75">
      <c r="A69" s="31"/>
      <c r="B69" s="28"/>
      <c r="C69" s="25">
        <v>55</v>
      </c>
      <c r="D69" s="33" t="s">
        <v>237</v>
      </c>
      <c r="E69" s="23"/>
      <c r="F69" s="24"/>
    </row>
    <row r="70" spans="1:6" ht="12.75" customHeight="1">
      <c r="A70" s="25">
        <v>60</v>
      </c>
      <c r="B70" s="32" t="s">
        <v>338</v>
      </c>
      <c r="C70" s="25">
        <v>56</v>
      </c>
      <c r="D70" s="29" t="s">
        <v>276</v>
      </c>
      <c r="E70" s="23"/>
      <c r="F70" s="24"/>
    </row>
    <row r="71" spans="1:6" ht="13.5" customHeight="1">
      <c r="A71" s="31">
        <v>61</v>
      </c>
      <c r="B71" s="32" t="s">
        <v>339</v>
      </c>
      <c r="C71" s="25">
        <v>57</v>
      </c>
      <c r="D71" s="29" t="s">
        <v>277</v>
      </c>
      <c r="E71" s="23"/>
      <c r="F71" s="24"/>
    </row>
    <row r="72" spans="1:6" ht="12.75">
      <c r="A72" s="25">
        <v>62</v>
      </c>
      <c r="B72" s="32" t="s">
        <v>340</v>
      </c>
      <c r="D72" s="33"/>
      <c r="E72" s="23"/>
      <c r="F72" s="24"/>
    </row>
    <row r="73" spans="1:6" ht="12.75">
      <c r="A73" s="31">
        <v>63</v>
      </c>
      <c r="B73" s="32" t="s">
        <v>341</v>
      </c>
      <c r="C73" s="25">
        <v>58</v>
      </c>
      <c r="D73" s="27" t="s">
        <v>219</v>
      </c>
      <c r="E73" s="23"/>
      <c r="F73" s="24"/>
    </row>
    <row r="74" spans="1:6" ht="12.75">
      <c r="A74" s="25">
        <v>64</v>
      </c>
      <c r="B74" s="32" t="s">
        <v>342</v>
      </c>
      <c r="C74" s="25">
        <v>59</v>
      </c>
      <c r="D74" s="33" t="s">
        <v>220</v>
      </c>
      <c r="E74" s="23"/>
      <c r="F74" s="24"/>
    </row>
    <row r="75" spans="1:6" ht="12.75">
      <c r="A75" s="31">
        <v>65</v>
      </c>
      <c r="B75" s="32" t="s">
        <v>343</v>
      </c>
      <c r="C75" s="25">
        <v>60</v>
      </c>
      <c r="D75" s="33" t="s">
        <v>221</v>
      </c>
      <c r="E75" s="23"/>
      <c r="F75" s="24"/>
    </row>
    <row r="76" spans="1:6" ht="12.75">
      <c r="A76" s="25">
        <v>66</v>
      </c>
      <c r="B76" s="32" t="s">
        <v>344</v>
      </c>
      <c r="C76" s="25">
        <v>61</v>
      </c>
      <c r="D76" s="33" t="s">
        <v>222</v>
      </c>
      <c r="E76" s="23"/>
      <c r="F76" s="24"/>
    </row>
    <row r="77" spans="1:6" ht="12.75">
      <c r="A77" s="31">
        <v>67</v>
      </c>
      <c r="B77" s="32" t="s">
        <v>345</v>
      </c>
      <c r="C77" s="25">
        <v>62</v>
      </c>
      <c r="D77" s="33" t="s">
        <v>223</v>
      </c>
      <c r="E77" s="23"/>
      <c r="F77" s="24"/>
    </row>
    <row r="78" spans="1:6" ht="12.75">
      <c r="A78" s="25">
        <v>68</v>
      </c>
      <c r="B78" s="32" t="s">
        <v>346</v>
      </c>
      <c r="C78" s="25">
        <v>63</v>
      </c>
      <c r="D78" s="29" t="s">
        <v>260</v>
      </c>
      <c r="E78" s="23"/>
      <c r="F78" s="24"/>
    </row>
    <row r="79" spans="1:6" ht="12.75">
      <c r="A79" s="31">
        <v>69</v>
      </c>
      <c r="B79" s="32" t="s">
        <v>347</v>
      </c>
      <c r="C79" s="25">
        <v>64</v>
      </c>
      <c r="D79" s="33" t="s">
        <v>261</v>
      </c>
      <c r="E79" s="23"/>
      <c r="F79" s="24"/>
    </row>
    <row r="80" spans="1:6" ht="12.75">
      <c r="A80" s="25">
        <v>70</v>
      </c>
      <c r="B80" s="32" t="s">
        <v>348</v>
      </c>
      <c r="C80" s="25">
        <v>65</v>
      </c>
      <c r="D80" s="33" t="s">
        <v>266</v>
      </c>
      <c r="E80" s="23"/>
      <c r="F80" s="24"/>
    </row>
    <row r="81" spans="1:6" ht="12.75">
      <c r="A81" s="31">
        <v>71</v>
      </c>
      <c r="B81" s="32" t="s">
        <v>349</v>
      </c>
      <c r="C81" s="25">
        <v>66</v>
      </c>
      <c r="D81" s="33" t="s">
        <v>262</v>
      </c>
      <c r="E81" s="23"/>
      <c r="F81" s="24"/>
    </row>
    <row r="82" spans="1:6" ht="12" customHeight="1">
      <c r="A82" s="25">
        <v>72</v>
      </c>
      <c r="B82" s="32" t="s">
        <v>350</v>
      </c>
      <c r="C82" s="25">
        <v>67</v>
      </c>
      <c r="D82" s="33" t="s">
        <v>263</v>
      </c>
      <c r="E82" s="23"/>
      <c r="F82" s="24"/>
    </row>
    <row r="83" spans="1:6" ht="12.75" customHeight="1">
      <c r="A83" s="31">
        <v>73</v>
      </c>
      <c r="B83" s="32" t="s">
        <v>351</v>
      </c>
      <c r="C83" s="25">
        <v>68</v>
      </c>
      <c r="D83" s="33" t="s">
        <v>264</v>
      </c>
      <c r="E83" s="23"/>
      <c r="F83" s="24"/>
    </row>
    <row r="84" spans="1:6" ht="12.75">
      <c r="A84" s="25">
        <v>74</v>
      </c>
      <c r="B84" s="32" t="s">
        <v>352</v>
      </c>
      <c r="C84" s="25">
        <v>69</v>
      </c>
      <c r="D84" s="33" t="s">
        <v>265</v>
      </c>
      <c r="E84" s="23"/>
      <c r="F84" s="24"/>
    </row>
    <row r="85" spans="1:6" ht="12.75">
      <c r="A85" s="31">
        <v>75</v>
      </c>
      <c r="B85" s="32" t="s">
        <v>353</v>
      </c>
      <c r="C85" s="25">
        <v>70</v>
      </c>
      <c r="D85" s="29" t="s">
        <v>268</v>
      </c>
      <c r="E85" s="23"/>
      <c r="F85" s="24"/>
    </row>
    <row r="86" spans="1:6" ht="12.75">
      <c r="A86" s="25">
        <v>76</v>
      </c>
      <c r="B86" s="32" t="s">
        <v>354</v>
      </c>
      <c r="C86" s="25">
        <v>71</v>
      </c>
      <c r="D86" s="29" t="s">
        <v>269</v>
      </c>
      <c r="E86" s="23"/>
      <c r="F86" s="24"/>
    </row>
    <row r="87" spans="1:6" ht="12.75">
      <c r="A87" s="31">
        <v>77</v>
      </c>
      <c r="B87" s="32" t="s">
        <v>355</v>
      </c>
      <c r="C87" s="25">
        <v>72</v>
      </c>
      <c r="D87" s="29" t="s">
        <v>282</v>
      </c>
      <c r="E87" s="23"/>
      <c r="F87" s="24"/>
    </row>
    <row r="88" spans="1:6" ht="12.75">
      <c r="A88" s="25"/>
      <c r="B88" s="34"/>
      <c r="C88" s="25">
        <v>73</v>
      </c>
      <c r="D88" s="29" t="s">
        <v>281</v>
      </c>
      <c r="E88" s="23"/>
      <c r="F88" s="24"/>
    </row>
    <row r="89" spans="1:6" ht="12.75">
      <c r="A89" s="25"/>
      <c r="B89" s="26" t="s">
        <v>483</v>
      </c>
      <c r="C89" s="25">
        <v>74</v>
      </c>
      <c r="D89" s="29" t="s">
        <v>280</v>
      </c>
      <c r="E89" s="23"/>
      <c r="F89" s="24"/>
    </row>
    <row r="90" spans="1:6" ht="12.75">
      <c r="A90" s="25"/>
      <c r="B90" s="26"/>
      <c r="C90" s="25">
        <v>75</v>
      </c>
      <c r="D90" s="29" t="s">
        <v>279</v>
      </c>
      <c r="E90" s="23"/>
      <c r="F90" s="24"/>
    </row>
    <row r="91" spans="1:6" ht="12.75">
      <c r="A91" s="25">
        <v>78</v>
      </c>
      <c r="B91" s="32" t="s">
        <v>507</v>
      </c>
      <c r="C91" s="25">
        <v>76</v>
      </c>
      <c r="D91" s="29" t="s">
        <v>278</v>
      </c>
      <c r="E91" s="23"/>
      <c r="F91" s="24"/>
    </row>
    <row r="92" spans="1:6" ht="12.75">
      <c r="A92" s="25">
        <v>79</v>
      </c>
      <c r="B92" s="32" t="s">
        <v>508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509</v>
      </c>
      <c r="C93" s="25">
        <v>77</v>
      </c>
      <c r="D93" s="27" t="s">
        <v>432</v>
      </c>
      <c r="E93" s="23"/>
      <c r="F93" s="24"/>
    </row>
    <row r="94" spans="1:6" ht="12.75">
      <c r="A94" s="25">
        <v>81</v>
      </c>
      <c r="B94" s="32" t="s">
        <v>510</v>
      </c>
      <c r="C94" s="25">
        <v>78</v>
      </c>
      <c r="D94" s="33" t="s">
        <v>433</v>
      </c>
      <c r="E94" s="23"/>
      <c r="F94" s="24"/>
    </row>
    <row r="95" spans="1:6" ht="12.75">
      <c r="A95" s="25">
        <v>82</v>
      </c>
      <c r="B95" s="32" t="s">
        <v>356</v>
      </c>
      <c r="C95" s="25">
        <v>79</v>
      </c>
      <c r="D95" s="33" t="s">
        <v>434</v>
      </c>
      <c r="E95" s="23"/>
      <c r="F95" s="24"/>
    </row>
    <row r="96" spans="1:6" ht="25.5">
      <c r="A96" s="25">
        <v>83</v>
      </c>
      <c r="B96" s="32" t="s">
        <v>357</v>
      </c>
      <c r="C96" s="25">
        <v>80</v>
      </c>
      <c r="D96" s="33" t="s">
        <v>435</v>
      </c>
      <c r="E96" s="23"/>
      <c r="F96" s="24"/>
    </row>
    <row r="97" spans="1:6" ht="12.75">
      <c r="A97" s="25">
        <v>84</v>
      </c>
      <c r="B97" s="32" t="s">
        <v>358</v>
      </c>
      <c r="C97" s="25">
        <v>81</v>
      </c>
      <c r="D97" s="33" t="s">
        <v>436</v>
      </c>
      <c r="E97" s="23"/>
      <c r="F97" s="24"/>
    </row>
    <row r="98" spans="1:6" ht="12.75">
      <c r="A98" s="25">
        <v>85</v>
      </c>
      <c r="B98" s="32" t="s">
        <v>359</v>
      </c>
      <c r="D98" s="33"/>
      <c r="E98" s="23"/>
      <c r="F98" s="24"/>
    </row>
    <row r="99" spans="1:6" ht="12.75">
      <c r="A99" s="25">
        <v>86</v>
      </c>
      <c r="B99" s="32" t="s">
        <v>360</v>
      </c>
      <c r="C99" s="25">
        <v>82</v>
      </c>
      <c r="D99" s="27" t="s">
        <v>234</v>
      </c>
      <c r="E99" s="23"/>
      <c r="F99" s="24"/>
    </row>
    <row r="100" spans="1:6" ht="12.75">
      <c r="A100" s="25">
        <v>87</v>
      </c>
      <c r="B100" s="32" t="s">
        <v>361</v>
      </c>
      <c r="C100" s="25">
        <v>83</v>
      </c>
      <c r="D100" s="33" t="s">
        <v>437</v>
      </c>
      <c r="E100" s="23"/>
      <c r="F100" s="24"/>
    </row>
    <row r="101" spans="1:6" ht="12.75">
      <c r="A101" s="25">
        <v>88</v>
      </c>
      <c r="B101" s="32" t="s">
        <v>362</v>
      </c>
      <c r="C101" s="25">
        <v>84</v>
      </c>
      <c r="D101" s="33" t="s">
        <v>438</v>
      </c>
      <c r="E101" s="23"/>
      <c r="F101" s="24"/>
    </row>
    <row r="102" spans="1:6" ht="25.5">
      <c r="A102" s="25">
        <v>89</v>
      </c>
      <c r="B102" s="32" t="s">
        <v>363</v>
      </c>
      <c r="C102" s="25">
        <v>85</v>
      </c>
      <c r="D102" s="33" t="s">
        <v>439</v>
      </c>
      <c r="E102" s="23"/>
      <c r="F102" s="24"/>
    </row>
    <row r="103" spans="1:6" ht="12.75">
      <c r="A103" s="25">
        <v>90</v>
      </c>
      <c r="B103" s="32" t="s">
        <v>364</v>
      </c>
      <c r="C103" s="25">
        <v>86</v>
      </c>
      <c r="D103" s="33" t="s">
        <v>440</v>
      </c>
      <c r="E103" s="23"/>
      <c r="F103" s="24"/>
    </row>
    <row r="104" spans="1:6" ht="12.75">
      <c r="A104" s="25">
        <v>91</v>
      </c>
      <c r="B104" s="32" t="s">
        <v>365</v>
      </c>
      <c r="C104" s="25">
        <v>87</v>
      </c>
      <c r="D104" s="29" t="s">
        <v>441</v>
      </c>
      <c r="E104" s="23"/>
      <c r="F104" s="24"/>
    </row>
    <row r="105" spans="1:6" ht="12.75">
      <c r="A105" s="25">
        <v>92</v>
      </c>
      <c r="B105" s="32" t="s">
        <v>366</v>
      </c>
      <c r="C105" s="25">
        <v>88</v>
      </c>
      <c r="D105" s="33" t="s">
        <v>442</v>
      </c>
      <c r="E105" s="23"/>
      <c r="F105" s="24"/>
    </row>
    <row r="106" spans="1:6" ht="12.75">
      <c r="A106" s="25">
        <v>93</v>
      </c>
      <c r="B106" s="32" t="s">
        <v>367</v>
      </c>
      <c r="C106" s="25">
        <v>89</v>
      </c>
      <c r="D106" s="33" t="s">
        <v>266</v>
      </c>
      <c r="E106" s="23"/>
      <c r="F106" s="24"/>
    </row>
    <row r="107" spans="1:6" ht="12.75">
      <c r="A107" s="25">
        <v>94</v>
      </c>
      <c r="B107" s="32" t="s">
        <v>368</v>
      </c>
      <c r="C107" s="25">
        <v>90</v>
      </c>
      <c r="D107" s="33" t="s">
        <v>235</v>
      </c>
      <c r="E107" s="23"/>
      <c r="F107" s="24"/>
    </row>
    <row r="108" spans="1:6" ht="12.75">
      <c r="A108" s="25">
        <v>95</v>
      </c>
      <c r="B108" s="32" t="s">
        <v>369</v>
      </c>
      <c r="C108" s="25">
        <v>91</v>
      </c>
      <c r="D108" s="33" t="s">
        <v>238</v>
      </c>
      <c r="E108" s="23"/>
      <c r="F108" s="24"/>
    </row>
    <row r="109" spans="1:6" ht="12.75">
      <c r="A109" s="25">
        <v>96</v>
      </c>
      <c r="B109" s="32" t="s">
        <v>370</v>
      </c>
      <c r="C109" s="25">
        <v>92</v>
      </c>
      <c r="D109" s="33" t="s">
        <v>443</v>
      </c>
      <c r="E109" s="23"/>
      <c r="F109" s="24"/>
    </row>
    <row r="110" spans="1:6" ht="12.75">
      <c r="A110" s="25">
        <v>97</v>
      </c>
      <c r="B110" s="32" t="s">
        <v>371</v>
      </c>
      <c r="C110" s="25">
        <v>93</v>
      </c>
      <c r="D110" s="33" t="s">
        <v>444</v>
      </c>
      <c r="E110" s="23"/>
      <c r="F110" s="24"/>
    </row>
    <row r="111" spans="1:6" ht="12.75">
      <c r="A111" s="25">
        <v>98</v>
      </c>
      <c r="B111" s="32" t="s">
        <v>372</v>
      </c>
      <c r="C111" s="25">
        <v>94</v>
      </c>
      <c r="D111" s="29" t="s">
        <v>270</v>
      </c>
      <c r="E111" s="23"/>
      <c r="F111" s="24"/>
    </row>
    <row r="112" spans="1:6" ht="12.75">
      <c r="A112" s="25">
        <v>99</v>
      </c>
      <c r="B112" s="32" t="s">
        <v>373</v>
      </c>
      <c r="C112" s="25">
        <v>95</v>
      </c>
      <c r="D112" s="29" t="s">
        <v>271</v>
      </c>
      <c r="E112" s="23"/>
      <c r="F112" s="24"/>
    </row>
    <row r="113" spans="1:6" ht="12.75">
      <c r="A113" s="25">
        <v>100</v>
      </c>
      <c r="B113" s="32" t="s">
        <v>374</v>
      </c>
      <c r="C113" s="25">
        <v>96</v>
      </c>
      <c r="D113" s="29" t="s">
        <v>283</v>
      </c>
      <c r="E113" s="23"/>
      <c r="F113" s="24"/>
    </row>
    <row r="114" spans="1:6" ht="12.75">
      <c r="A114" s="25">
        <v>101</v>
      </c>
      <c r="B114" s="32" t="s">
        <v>375</v>
      </c>
      <c r="C114" s="25">
        <v>97</v>
      </c>
      <c r="D114" s="29" t="s">
        <v>284</v>
      </c>
      <c r="E114" s="23"/>
      <c r="F114" s="24"/>
    </row>
    <row r="115" spans="1:6" ht="12.75">
      <c r="A115" s="25">
        <v>102</v>
      </c>
      <c r="B115" s="32" t="s">
        <v>511</v>
      </c>
      <c r="C115" s="25">
        <v>98</v>
      </c>
      <c r="D115" s="29" t="s">
        <v>285</v>
      </c>
      <c r="E115" s="23"/>
      <c r="F115" s="24"/>
    </row>
    <row r="116" spans="1:6" ht="12.75">
      <c r="A116" s="25">
        <v>103</v>
      </c>
      <c r="B116" s="32" t="s">
        <v>512</v>
      </c>
      <c r="C116" s="25">
        <v>99</v>
      </c>
      <c r="D116" s="29" t="s">
        <v>286</v>
      </c>
      <c r="E116" s="23"/>
      <c r="F116" s="24"/>
    </row>
    <row r="117" spans="1:6" ht="12.75">
      <c r="A117" s="25">
        <v>104</v>
      </c>
      <c r="B117" s="32" t="s">
        <v>513</v>
      </c>
      <c r="C117" s="25">
        <v>100</v>
      </c>
      <c r="D117" s="29" t="s">
        <v>287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484</v>
      </c>
      <c r="C119" s="25">
        <v>101</v>
      </c>
      <c r="D119" s="27" t="s">
        <v>255</v>
      </c>
      <c r="E119" s="23"/>
      <c r="F119" s="24"/>
    </row>
    <row r="120" spans="1:6" ht="12.75">
      <c r="A120" s="25"/>
      <c r="B120" s="30"/>
      <c r="C120" s="25">
        <v>102</v>
      </c>
      <c r="D120" s="29" t="s">
        <v>239</v>
      </c>
      <c r="E120" s="23"/>
      <c r="F120" s="24"/>
    </row>
    <row r="121" spans="1:6" ht="12.75">
      <c r="A121" s="25">
        <v>105</v>
      </c>
      <c r="B121" s="37" t="s">
        <v>455</v>
      </c>
      <c r="C121" s="25">
        <v>103</v>
      </c>
      <c r="D121" s="33" t="s">
        <v>240</v>
      </c>
      <c r="E121" s="23"/>
      <c r="F121" s="24"/>
    </row>
    <row r="122" spans="1:6" ht="12.75">
      <c r="A122" s="25">
        <v>106</v>
      </c>
      <c r="B122" s="37" t="s">
        <v>456</v>
      </c>
      <c r="C122" s="25">
        <v>104</v>
      </c>
      <c r="D122" s="33" t="s">
        <v>241</v>
      </c>
      <c r="E122" s="23"/>
      <c r="F122" s="24"/>
    </row>
    <row r="123" spans="1:6" ht="12.75">
      <c r="A123" s="25">
        <v>107</v>
      </c>
      <c r="B123" s="37" t="s">
        <v>457</v>
      </c>
      <c r="C123" s="25">
        <v>105</v>
      </c>
      <c r="D123" s="29" t="s">
        <v>242</v>
      </c>
      <c r="E123" s="23"/>
      <c r="F123" s="24"/>
    </row>
    <row r="124" spans="1:6" ht="12.75">
      <c r="A124" s="25">
        <v>108</v>
      </c>
      <c r="B124" s="37" t="s">
        <v>458</v>
      </c>
      <c r="C124" s="25">
        <v>106</v>
      </c>
      <c r="D124" s="33" t="s">
        <v>243</v>
      </c>
      <c r="E124" s="23"/>
      <c r="F124" s="24"/>
    </row>
    <row r="125" spans="1:6" ht="12.75">
      <c r="A125" s="25">
        <v>109</v>
      </c>
      <c r="B125" s="37" t="s">
        <v>459</v>
      </c>
      <c r="C125" s="25">
        <v>107</v>
      </c>
      <c r="D125" s="33" t="s">
        <v>244</v>
      </c>
      <c r="E125" s="23"/>
      <c r="F125" s="24"/>
    </row>
    <row r="126" spans="1:6" ht="12.75">
      <c r="A126" s="25">
        <v>110</v>
      </c>
      <c r="B126" s="37" t="s">
        <v>460</v>
      </c>
      <c r="C126" s="25">
        <v>108</v>
      </c>
      <c r="D126" s="33" t="s">
        <v>245</v>
      </c>
      <c r="E126" s="23"/>
      <c r="F126" s="24"/>
    </row>
    <row r="127" spans="1:6" ht="12.75">
      <c r="A127" s="25">
        <v>111</v>
      </c>
      <c r="B127" s="37" t="s">
        <v>461</v>
      </c>
      <c r="C127" s="25">
        <v>109</v>
      </c>
      <c r="D127" s="33" t="s">
        <v>246</v>
      </c>
      <c r="E127" s="23"/>
      <c r="F127" s="24"/>
    </row>
    <row r="128" spans="1:6" ht="12.75" customHeight="1">
      <c r="A128" s="25">
        <v>112</v>
      </c>
      <c r="B128" s="37" t="s">
        <v>462</v>
      </c>
      <c r="C128" s="25">
        <v>110</v>
      </c>
      <c r="D128" s="33" t="s">
        <v>247</v>
      </c>
      <c r="E128" s="23"/>
      <c r="F128" s="24"/>
    </row>
    <row r="129" spans="1:6" ht="12.75">
      <c r="A129" s="25">
        <v>113</v>
      </c>
      <c r="B129" s="37" t="s">
        <v>463</v>
      </c>
      <c r="C129" s="25">
        <v>111</v>
      </c>
      <c r="D129" s="33" t="s">
        <v>248</v>
      </c>
      <c r="E129" s="23"/>
      <c r="F129" s="24"/>
    </row>
    <row r="130" spans="1:6" ht="12.75">
      <c r="A130" s="25">
        <v>114</v>
      </c>
      <c r="B130" s="37" t="s">
        <v>464</v>
      </c>
      <c r="C130" s="25">
        <v>112</v>
      </c>
      <c r="D130" s="29" t="s">
        <v>249</v>
      </c>
      <c r="E130" s="23"/>
      <c r="F130" s="24"/>
    </row>
    <row r="131" spans="1:6" ht="12.75">
      <c r="A131" s="25">
        <v>115</v>
      </c>
      <c r="B131" s="37" t="s">
        <v>465</v>
      </c>
      <c r="C131" s="25">
        <v>113</v>
      </c>
      <c r="D131" s="33" t="s">
        <v>250</v>
      </c>
      <c r="E131" s="23"/>
      <c r="F131" s="24"/>
    </row>
    <row r="132" spans="1:6" ht="12.75">
      <c r="A132" s="25">
        <v>116</v>
      </c>
      <c r="B132" s="37" t="s">
        <v>466</v>
      </c>
      <c r="C132" s="25">
        <v>114</v>
      </c>
      <c r="D132" s="33" t="s">
        <v>251</v>
      </c>
      <c r="E132" s="23"/>
      <c r="F132" s="24"/>
    </row>
    <row r="133" spans="1:6" ht="12.75">
      <c r="A133" s="25">
        <v>117</v>
      </c>
      <c r="B133" s="37" t="s">
        <v>467</v>
      </c>
      <c r="C133" s="25">
        <v>115</v>
      </c>
      <c r="D133" s="33" t="s">
        <v>252</v>
      </c>
      <c r="E133" s="23"/>
      <c r="F133" s="24"/>
    </row>
    <row r="134" spans="1:6" ht="12.75">
      <c r="A134" s="25">
        <v>118</v>
      </c>
      <c r="B134" s="32" t="s">
        <v>468</v>
      </c>
      <c r="C134" s="25">
        <v>116</v>
      </c>
      <c r="D134" s="33" t="s">
        <v>253</v>
      </c>
      <c r="E134" s="23"/>
      <c r="F134" s="24"/>
    </row>
    <row r="135" spans="1:6" ht="25.5">
      <c r="A135" s="35"/>
      <c r="B135" s="36"/>
      <c r="C135" s="25">
        <v>117</v>
      </c>
      <c r="D135" s="33" t="s">
        <v>254</v>
      </c>
      <c r="E135" s="23"/>
      <c r="F135" s="24"/>
    </row>
    <row r="136" spans="1:6" ht="12.75">
      <c r="A136" s="35"/>
      <c r="B136" s="38" t="s">
        <v>485</v>
      </c>
      <c r="C136" s="25">
        <v>118</v>
      </c>
      <c r="D136" s="29" t="s">
        <v>272</v>
      </c>
      <c r="E136" s="23"/>
      <c r="F136" s="24"/>
    </row>
    <row r="137" spans="1:6" ht="12.75">
      <c r="A137" s="35"/>
      <c r="B137" s="36"/>
      <c r="C137" s="25">
        <v>119</v>
      </c>
      <c r="D137" s="29" t="s">
        <v>273</v>
      </c>
      <c r="E137" s="23"/>
      <c r="F137" s="24"/>
    </row>
    <row r="138" spans="1:6" ht="12.75">
      <c r="A138" s="25">
        <v>119</v>
      </c>
      <c r="B138" s="36" t="s">
        <v>486</v>
      </c>
      <c r="C138" s="25">
        <v>120</v>
      </c>
      <c r="D138" s="29" t="s">
        <v>274</v>
      </c>
      <c r="E138" s="23"/>
      <c r="F138" s="24"/>
    </row>
    <row r="139" spans="1:6" ht="12.75">
      <c r="A139" s="25">
        <v>120</v>
      </c>
      <c r="B139" s="30" t="s">
        <v>376</v>
      </c>
      <c r="C139" s="25">
        <v>121</v>
      </c>
      <c r="D139" s="29" t="s">
        <v>275</v>
      </c>
      <c r="E139" s="23"/>
      <c r="F139" s="24"/>
    </row>
    <row r="140" spans="1:6" ht="12.75">
      <c r="A140" s="25">
        <v>121</v>
      </c>
      <c r="B140" s="30" t="s">
        <v>377</v>
      </c>
      <c r="C140" s="25">
        <v>122</v>
      </c>
      <c r="D140" s="29" t="s">
        <v>288</v>
      </c>
      <c r="E140" s="23"/>
      <c r="F140" s="24"/>
    </row>
    <row r="141" spans="1:6" ht="12.75">
      <c r="A141" s="25">
        <v>122</v>
      </c>
      <c r="B141" s="30" t="s">
        <v>378</v>
      </c>
      <c r="C141" s="25">
        <v>123</v>
      </c>
      <c r="D141" s="29" t="s">
        <v>289</v>
      </c>
      <c r="E141" s="23"/>
      <c r="F141" s="24"/>
    </row>
    <row r="142" spans="1:6" ht="12.75">
      <c r="A142" s="25">
        <v>123</v>
      </c>
      <c r="B142" s="32" t="s">
        <v>379</v>
      </c>
      <c r="C142" s="25">
        <v>124</v>
      </c>
      <c r="D142" s="29" t="s">
        <v>290</v>
      </c>
      <c r="E142" s="23"/>
      <c r="F142" s="24"/>
    </row>
    <row r="143" spans="1:6" ht="12.75">
      <c r="A143" s="25">
        <v>124</v>
      </c>
      <c r="B143" s="32" t="s">
        <v>380</v>
      </c>
      <c r="C143" s="25">
        <v>125</v>
      </c>
      <c r="D143" s="29" t="s">
        <v>291</v>
      </c>
      <c r="E143" s="23"/>
      <c r="F143" s="24"/>
    </row>
    <row r="144" spans="1:6" ht="12.75">
      <c r="A144" s="25">
        <v>125</v>
      </c>
      <c r="B144" s="32" t="s">
        <v>381</v>
      </c>
      <c r="C144" s="25">
        <v>126</v>
      </c>
      <c r="D144" s="29" t="s">
        <v>292</v>
      </c>
      <c r="E144" s="23"/>
      <c r="F144" s="24"/>
    </row>
    <row r="145" spans="1:6" ht="12.75">
      <c r="A145" s="25">
        <v>126</v>
      </c>
      <c r="B145" s="32" t="s">
        <v>382</v>
      </c>
      <c r="C145" s="25">
        <v>127</v>
      </c>
      <c r="D145" s="29" t="s">
        <v>293</v>
      </c>
      <c r="E145" s="23"/>
      <c r="F145" s="24"/>
    </row>
    <row r="146" spans="1:6" ht="12.75">
      <c r="A146" s="25">
        <v>127</v>
      </c>
      <c r="B146" s="32" t="s">
        <v>383</v>
      </c>
      <c r="C146" s="25">
        <v>128</v>
      </c>
      <c r="D146" s="29" t="s">
        <v>294</v>
      </c>
      <c r="E146" s="23"/>
      <c r="F146" s="24"/>
    </row>
    <row r="147" spans="1:6" ht="12.75">
      <c r="A147" s="25">
        <v>128</v>
      </c>
      <c r="B147" s="32" t="s">
        <v>384</v>
      </c>
      <c r="C147" s="25">
        <v>129</v>
      </c>
      <c r="D147" s="29" t="s">
        <v>295</v>
      </c>
      <c r="E147" s="23"/>
      <c r="F147" s="24"/>
    </row>
    <row r="148" spans="1:6" ht="12.75">
      <c r="A148" s="25">
        <v>129</v>
      </c>
      <c r="B148" s="32" t="s">
        <v>385</v>
      </c>
      <c r="C148" s="25">
        <v>130</v>
      </c>
      <c r="D148" s="29" t="s">
        <v>296</v>
      </c>
      <c r="E148" s="23"/>
      <c r="F148" s="24"/>
    </row>
    <row r="149" spans="1:6" ht="12.75">
      <c r="A149" s="25">
        <v>130</v>
      </c>
      <c r="B149" s="30" t="s">
        <v>386</v>
      </c>
      <c r="C149" s="25">
        <v>131</v>
      </c>
      <c r="D149" s="29" t="s">
        <v>297</v>
      </c>
      <c r="E149" s="23"/>
      <c r="F149" s="24"/>
    </row>
    <row r="150" spans="1:6" ht="12.75">
      <c r="A150" s="25">
        <v>131</v>
      </c>
      <c r="B150" s="30" t="s">
        <v>387</v>
      </c>
      <c r="C150" s="25">
        <v>132</v>
      </c>
      <c r="D150" s="29" t="s">
        <v>298</v>
      </c>
      <c r="E150" s="23"/>
      <c r="F150" s="24"/>
    </row>
    <row r="151" spans="1:6" ht="12.75">
      <c r="A151" s="25">
        <v>132</v>
      </c>
      <c r="B151" s="30" t="s">
        <v>388</v>
      </c>
      <c r="C151" s="25">
        <v>133</v>
      </c>
      <c r="D151" s="29" t="s">
        <v>299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256</v>
      </c>
      <c r="E153" s="23"/>
      <c r="F153" s="24"/>
    </row>
    <row r="154" spans="1:6" ht="25.5">
      <c r="A154" s="35"/>
      <c r="C154" s="25">
        <v>135</v>
      </c>
      <c r="D154" s="33" t="s">
        <v>257</v>
      </c>
      <c r="E154" s="23"/>
      <c r="F154" s="24"/>
    </row>
    <row r="155" spans="1:6" ht="12.75">
      <c r="A155" s="35"/>
      <c r="B155" s="36"/>
      <c r="C155" s="25">
        <v>136</v>
      </c>
      <c r="D155" s="33" t="s">
        <v>259</v>
      </c>
      <c r="E155" s="23"/>
      <c r="F155" s="24"/>
    </row>
    <row r="156" spans="1:6" ht="12.75">
      <c r="A156" s="35"/>
      <c r="B156" s="36"/>
      <c r="C156" s="25">
        <v>137</v>
      </c>
      <c r="D156" s="33" t="s">
        <v>258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445</v>
      </c>
      <c r="E158" s="23"/>
      <c r="F158" s="24"/>
    </row>
    <row r="159" spans="1:6" ht="12.75">
      <c r="A159" s="35"/>
      <c r="B159" s="36"/>
      <c r="C159" s="25">
        <v>140</v>
      </c>
      <c r="D159" s="33" t="s">
        <v>446</v>
      </c>
      <c r="E159" s="23"/>
      <c r="F159" s="24"/>
    </row>
    <row r="160" spans="1:6" ht="12.75">
      <c r="A160" s="35"/>
      <c r="B160" s="36"/>
      <c r="C160" s="25">
        <v>141</v>
      </c>
      <c r="D160" s="33" t="s">
        <v>447</v>
      </c>
      <c r="E160" s="23"/>
      <c r="F160" s="24"/>
    </row>
    <row r="161" spans="1:6" ht="12.75">
      <c r="A161" s="35"/>
      <c r="B161" s="36"/>
      <c r="C161" s="25">
        <v>142</v>
      </c>
      <c r="D161" s="33" t="s">
        <v>448</v>
      </c>
      <c r="E161" s="23"/>
      <c r="F161" s="24"/>
    </row>
    <row r="162" spans="1:6" ht="12.75">
      <c r="A162" s="35"/>
      <c r="B162" s="36"/>
      <c r="C162" s="25">
        <v>143</v>
      </c>
      <c r="D162" s="33" t="s">
        <v>449</v>
      </c>
      <c r="E162" s="23"/>
      <c r="F162" s="24"/>
    </row>
    <row r="163" spans="1:6" ht="12.75">
      <c r="A163" s="35"/>
      <c r="B163" s="36"/>
      <c r="C163" s="25">
        <v>144</v>
      </c>
      <c r="D163" s="33" t="s">
        <v>450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2015-08-07T04:52:56Z</cp:lastPrinted>
  <dcterms:created xsi:type="dcterms:W3CDTF">2003-01-28T12:33:10Z</dcterms:created>
  <dcterms:modified xsi:type="dcterms:W3CDTF">2015-09-16T11:38:08Z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