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500" windowHeight="4245" activeTab="0"/>
  </bookViews>
  <sheets>
    <sheet name="Лок.См.Расч.Баз.-Инд.Методом" sheetId="1" r:id="rId1"/>
    <sheet name="Переменные и константы" sheetId="2" r:id="rId2"/>
  </sheets>
  <definedNames>
    <definedName name="Дата_изменения_группы_строек">'Переменные и константы'!$B$3</definedName>
    <definedName name="Дата_изменения_локальной_сметы">'Переменные и константы'!$B$81</definedName>
    <definedName name="Дата_изменения_объекта">'Переменные и константы'!$B$47</definedName>
    <definedName name="Дата_изменения_объектной_сметы">'Переменные и константы'!$B$70</definedName>
    <definedName name="Дата_изменения_очереди">'Переменные и константы'!$B$14</definedName>
    <definedName name="Дата_изменения_пускового_комплекса">'Переменные и константы'!$B$25</definedName>
    <definedName name="Дата_изменения_сводного_сметного_расчета">'Переменные и константы'!$B$58</definedName>
    <definedName name="Дата_изменения_стройки">'Переменные и константы'!$B$36</definedName>
    <definedName name="Дата_создания_группы_строек">'Переменные и константы'!$B$4</definedName>
    <definedName name="Дата_создания_локальной_сметы">'Переменные и константы'!$B$82</definedName>
    <definedName name="Дата_создания_объекта">'Переменные и константы'!$B$48</definedName>
    <definedName name="Дата_создания_объектной_сметы">'Переменные и константы'!$B$71</definedName>
    <definedName name="Дата_создания_очереди">'Переменные и константы'!$B$15</definedName>
    <definedName name="Дата_создания_пускового_комплекса">'Переменные и константы'!$B$26</definedName>
    <definedName name="Дата_создания_сводного_сметного_расчета">'Переменные и константы'!$B$59</definedName>
    <definedName name="Дата_создания_стройки">'Переменные и константы'!$B$37</definedName>
    <definedName name="_xlnm.Print_Titles" localSheetId="0">'Лок.См.Расч.Баз.-Инд.Методом'!$15:$18</definedName>
    <definedName name="Заказчик">'Переменные и константы'!$B$108</definedName>
    <definedName name="Инвестор">'Переменные и константы'!$B$109</definedName>
    <definedName name="Индекс_ЛН_группы_строек">'Переменные и константы'!$B$2</definedName>
    <definedName name="Индекс_ЛН_локальной_сметы">'Переменные и константы'!$B$80</definedName>
    <definedName name="Индекс_ЛН_объекта">'Переменные и константы'!$B$46</definedName>
    <definedName name="Индекс_ЛН_объектной_сметы">'Переменные и константы'!$B$68</definedName>
    <definedName name="Индекс_ЛН_очереди">'Переменные и константы'!$B$13</definedName>
    <definedName name="Индекс_ЛН_пускового_комплекса">'Переменные и константы'!$B$24</definedName>
    <definedName name="Индекс_ЛН_сводного_сметного_расчета">'Переменные и константы'!$B$57</definedName>
    <definedName name="Индекс_ЛН_стройки">'Переменные и константы'!$B$35</definedName>
    <definedName name="Итого_ЗПМ__по_рес_расчету_с_учетом_к_тов">'Переменные и константы'!$B$196</definedName>
    <definedName name="Итого_ЗПМ_в_базисных_ценах">'Переменные и константы'!#REF!</definedName>
    <definedName name="Итого_ЗПМ_в_базисных_ценах_с_учетом_к_тов">'Переменные и константы'!#REF!</definedName>
    <definedName name="Итого_ЗПМ_по_акту_вып_работ_в_базисных_ценах_с_учетом_к_тов">'Переменные и константы'!$B$236</definedName>
    <definedName name="Итого_ЗПМ_по_акту_вып_работ_при_ресурсном_расчете_с_учетом_к_тов">'Переменные и константы'!$B$241</definedName>
    <definedName name="Итого_ЗПМ_по_акту_выполненных_работ_в_базисных_ценах">'Переменные и константы'!$B$217</definedName>
    <definedName name="Итого_ЗПМ_по_акту_выполненных_работ_при_ресурсном_расчете">'Переменные и константы'!$B$224</definedName>
    <definedName name="Итого_ЗПМ_при_расчете_по_стоимости_ч_часа_работы_механизаторов">'Переменные и константы'!$B$188</definedName>
    <definedName name="Итого_МАТ_по_акту_вып_работ_в_базисных_ценах_с_учетом_к_тов">'Переменные и константы'!$B$237</definedName>
    <definedName name="Итого_МАТ_по_акту_вып_работ_при_ресурсном_расчете_с_учетом_к_тов">'Переменные и константы'!$B$242</definedName>
    <definedName name="Итого_материалы">'Переменные и константы'!$B$190</definedName>
    <definedName name="Итого_материалы__по_рес_расчету_с_учетом_к_тов">'Переменные и константы'!$B$197</definedName>
    <definedName name="Итого_материалы_в_базисных_ценах">'Переменные и константы'!#REF!</definedName>
    <definedName name="Итого_материалы_в_базисных_ценах_с_учетом_к_тов">'Переменные и константы'!#REF!</definedName>
    <definedName name="Итого_материалы_по_акту_выполненных_работ_в_базисных_ценах">'Переменные и константы'!$B$219</definedName>
    <definedName name="Итого_материалы_по_акту_выполненных_работ_при_ресурсном_расчете">'Переменные и константы'!$B$226</definedName>
    <definedName name="Итого_машины_и_механизмы">'Переменные и константы'!$B$191</definedName>
    <definedName name="Итого_машины_и_механизмы_в_базисных_ценах">'Переменные и константы'!#REF!</definedName>
    <definedName name="Итого_машины_и_механизмы_по_акту_выполненных_работ_в_базисных_ценах">'Переменные и константы'!$B$220</definedName>
    <definedName name="Итого_машины_и_механизмы_по_акту_выполненных_работ_при_ресурсном_расчете">'Переменные и константы'!$B$227</definedName>
    <definedName name="Итого_НР_в_базисных_ценах">'Переменные и константы'!#REF!</definedName>
    <definedName name="Итого_НР_по_акту_в_базисных_ценах">'Переменные и константы'!#REF!</definedName>
    <definedName name="Итого_НР_по_акту_по_ресурсному_расчету">'Переменные и константы'!$B$190</definedName>
    <definedName name="Итого_НР_по_ресурсному_расчету">'Переменные и константы'!$B$190</definedName>
    <definedName name="Итого_ОЗП">'Переменные и константы'!$B$186</definedName>
    <definedName name="Итого_ОЗП_в_базисных_ценах">'Переменные и константы'!#REF!</definedName>
    <definedName name="Итого_ОЗП_в_базисных_ценах_с_учетом_к_тов">'Переменные и константы'!#REF!</definedName>
    <definedName name="Итого_ОЗП_по_акту_вып_работ_в_базисных_ценах_с_учетом_к_тов">'Переменные и константы'!$B$235</definedName>
    <definedName name="Итого_ОЗП_по_акту_вып_работ_при_ресурсном_расчете_с_учетом_к_тов">'Переменные и константы'!$B$240</definedName>
    <definedName name="Итого_ОЗП_по_акту_выполненных_работ_в_базисных_ценах">'Переменные и константы'!$B$216</definedName>
    <definedName name="Итого_ОЗП_по_акту_выполненных_работ_при_ресурсном_расчете">'Переменные и константы'!$B$223</definedName>
    <definedName name="Итого_ОЗП_по_рес_расчету_с_учетом_к_тов">'Переменные и константы'!$B$195</definedName>
    <definedName name="Итого_ПЗ">'Переменные и константы'!$B$185</definedName>
    <definedName name="Итого_ПЗ_в_базисных_ценах">'Переменные и константы'!$B$126</definedName>
    <definedName name="Итого_ПЗ_в_базисных_ценах_с_учетом_к_тов">'Переменные и константы'!#REF!</definedName>
    <definedName name="Итого_ПЗ_по_акту_вып_работ_в_базисных_ценах_с_учетом_к_тов">'Переменные и константы'!$B$234</definedName>
    <definedName name="Итого_ПЗ_по_акту_вып_работ_при_ресурсном_расчете_с_учетом_к_тов">'Переменные и константы'!$B$239</definedName>
    <definedName name="Итого_ПЗ_по_акту_выполненных_работ_в_базисных_ценах">'Переменные и константы'!$B$215</definedName>
    <definedName name="Итого_ПЗ_по_акту_выполненных_работ_при_ресурсном_расчете">'Переменные и константы'!$B$222</definedName>
    <definedName name="Итого_ПЗ_по_рес_расчету_с_учетом_к_тов">'Переменные и константы'!$B$194</definedName>
    <definedName name="Итого_СП_в_базисных_ценах">'Переменные и константы'!#REF!</definedName>
    <definedName name="Итого_СП_по_акту_в_базисных_ценах">'Переменные и константы'!#REF!</definedName>
    <definedName name="Итого_СП_по_акту_по_ресурсному_расчету">'Переменные и константы'!$B$190</definedName>
    <definedName name="Итого_СП_по_ресурсному_расчету">'Переменные и константы'!$B$190</definedName>
    <definedName name="Итого_ФОТ_в_базисных_ценах">'Переменные и константы'!#REF!</definedName>
    <definedName name="Итого_ФОТ_по_акту_выполненных_работ_в_базисных_ценах">'Переменные и константы'!$B$218</definedName>
    <definedName name="Итого_ФОТ_по_акту_выполненных_работ_при_ресурсном_расчете">'Переменные и константы'!$B$225</definedName>
    <definedName name="Итого_ФОТ_при_расчете_по_доле_з_п_в_стоимости_эксплуатации_машин">'Переменные и константы'!$B$189</definedName>
    <definedName name="Итого_ЭММ__по_рес_расчету_с_учетом_к_тов">'Переменные и константы'!$B$198</definedName>
    <definedName name="Итого_ЭММ_в_базисных_ценах_с_учетом_к_тов">'Переменные и константы'!#REF!</definedName>
    <definedName name="Итого_ЭММ_по_акту_вып_работ_в_базисных_ценах_с_учетом_к_тов">'Переменные и константы'!$B$238</definedName>
    <definedName name="Итого_ЭММ_по_акту_вып_работ_при_ресурсном_расчете_с_учетом_к_тов">'Переменные и константы'!$B$243</definedName>
    <definedName name="к_ЗПМ">'Переменные и константы'!$B$278</definedName>
    <definedName name="к_МАТ">'Переменные и константы'!$B$279</definedName>
    <definedName name="к_ОЗП">'Переменные и константы'!$B$276</definedName>
    <definedName name="к_ПЗ">'Переменные и константы'!$B$275</definedName>
    <definedName name="к_ЭМ">'Переменные и константы'!$B$277</definedName>
    <definedName name="Монтажные_работы_в_базисных_ценах">'Переменные и константы'!$B$123</definedName>
    <definedName name="Монтажные_работы_в_текущих_ценах">'Переменные и константы'!$B$160</definedName>
    <definedName name="Монтажные_работы_в_текущих_ценах_по_ресурсному_расчету">'Переменные и константы'!$B$160</definedName>
    <definedName name="Монтажные_работы_в_текущих_ценах_после_применения_индексов">'Переменные и константы'!$B$160</definedName>
    <definedName name="Наименование_группы_строек">'Переменные и константы'!$A$1</definedName>
    <definedName name="Наименование_локальной_сметы">'Переменные и константы'!$B$79</definedName>
    <definedName name="Наименование_объекта">'Переменные и константы'!$B$45</definedName>
    <definedName name="Наименование_объектной_сметы">'Переменные и константы'!$B$67</definedName>
    <definedName name="Наименование_очереди">'Переменные и константы'!$B$12</definedName>
    <definedName name="Наименование_пускового_комплекса">'Переменные и константы'!$B$23</definedName>
    <definedName name="Наименование_сводного_сметного_расчета">'Переменные и константы'!$B$56</definedName>
    <definedName name="Наименование_стройки">'Переменные и константы'!$B$34</definedName>
    <definedName name="Норм_трудоемкость_механизаторов_по_смете_с_учетом_к_тов">'Переменные и константы'!#REF!</definedName>
    <definedName name="Норм_трудоемкость_осн_рабочих_по_смете_с_учетом_к_тов">'Переменные и константы'!#REF!</definedName>
    <definedName name="Нормативная_трудоемкость_механизаторов_по_смете">'Переменные и константы'!#REF!</definedName>
    <definedName name="Нормативная_трудоемкость_основных_рабочих_по_смете">'Переменные и константы'!#REF!</definedName>
    <definedName name="Оборудование_в_базисных_ценах">'Переменные и константы'!$B$124</definedName>
    <definedName name="Оборудование_в_текущих_ценах">'Переменные и константы'!$B$161</definedName>
    <definedName name="Оборудование_в_текущих_ценах_по_ресурсному_расчету">'Переменные и константы'!$B$161</definedName>
    <definedName name="Оборудование_в_текущих_ценах_после_применения_индексов">'Переменные и константы'!$B$161</definedName>
    <definedName name="Обоснование_поправки">'Переменные и константы'!$B$280</definedName>
    <definedName name="Описание_группы_строек">'Переменные и константы'!$B$6</definedName>
    <definedName name="Описание_локальной_сметы">'Переменные и константы'!$B$84</definedName>
    <definedName name="Описание_объекта">'Переменные и константы'!$B$50</definedName>
    <definedName name="Описание_объектной_сметы">'Переменные и константы'!$B$73</definedName>
    <definedName name="Описание_очереди">'Переменные и константы'!$B$17</definedName>
    <definedName name="Описание_пускового_комплекса">'Переменные и константы'!$B$28</definedName>
    <definedName name="Описание_сводного_сметного_расчета">'Переменные и константы'!$B$61</definedName>
    <definedName name="Описание_стройки">'Переменные и константы'!$B$39</definedName>
    <definedName name="Основание">'Переменные и константы'!$B$105</definedName>
    <definedName name="Отчетный_период__учет_выполненных_работ">'Переменные и константы'!$B$211</definedName>
    <definedName name="Проверил">'Переменные и константы'!$B$107</definedName>
    <definedName name="Прочие_затраты_в_базисных_ценах">'Переменные и константы'!$B$125</definedName>
    <definedName name="Прочие_затраты_в_текущих_ценах">'Переменные и константы'!$B$162</definedName>
    <definedName name="Прочие_затраты_в_текущих_ценах_по_ресурсному_расчету">'Переменные и константы'!$B$162</definedName>
    <definedName name="Прочие_затраты_в_текущих_ценах_после_применения_индексов">'Переменные и константы'!$B$162</definedName>
    <definedName name="Районный_к_т_к_ЗП">'Переменные и константы'!#REF!</definedName>
    <definedName name="Районный_к_т_к_ЗП_по_ресурсному_расчету">'Переменные и константы'!#REF!</definedName>
    <definedName name="Регистрационный_номер_группы_строек">'Переменные и константы'!$B$5</definedName>
    <definedName name="Регистрационный_номер_локальной_сметы">'Переменные и константы'!$B$83</definedName>
    <definedName name="Регистрационный_номер_объекта">'Переменные и константы'!$B$49</definedName>
    <definedName name="Регистрационный_номер_объектной_сметы">'Переменные и константы'!$B$72</definedName>
    <definedName name="Регистрационный_номер_очереди">'Переменные и константы'!$B$16</definedName>
    <definedName name="Регистрационный_номер_пускового_комплекса">'Переменные и константы'!$B$27</definedName>
    <definedName name="Регистрационный_номер_сводного_сметного_расчета">'Переменные и константы'!$B$60</definedName>
    <definedName name="Регистрационный_номер_стройки">'Переменные и константы'!$B$38</definedName>
    <definedName name="Сметная_стоимость_в_базисных_ценах">'Переменные и константы'!$B$121</definedName>
    <definedName name="Сметная_стоимость_в_текущих_ценах__после_применения_индексов">'Переменные и константы'!$B$158</definedName>
    <definedName name="Сметная_стоимость_по_ресурсному_расчету">'Переменные и константы'!$B$180</definedName>
    <definedName name="Составил">'Переменные и константы'!$B$106</definedName>
    <definedName name="Стоимость_по_акту_выполненных_работ_в_базисных_ценах">'Переменные и константы'!$B$214</definedName>
    <definedName name="Стоимость_по_акту_выполненных_работ_при_ресурсном_расчете">'Переменные и константы'!$B$221</definedName>
    <definedName name="Строительные_работы_в_базисных_ценах">'Переменные и константы'!$B$122</definedName>
    <definedName name="Строительные_работы_в_текущих_ценах">'Переменные и константы'!$B$159</definedName>
    <definedName name="Строительные_работы_в_текущих_ценах_по_ресурсному_расчету">'Переменные и константы'!$B$159</definedName>
    <definedName name="Строительные_работы_в_текущих_ценах_после_применения_индексов">'Переменные и константы'!$B$159</definedName>
    <definedName name="Территориальная_поправка_к_ТЕР">'Переменные и константы'!$B$274</definedName>
    <definedName name="Труд_механизаторов_по_акту_вып_работ_с_учетом_к_тов">'Переменные и константы'!$B$233</definedName>
    <definedName name="Труд_основн_рабочих_по_акту_вып_работ_с_учетом_к_тов">'Переменные и константы'!$B$232</definedName>
    <definedName name="Трудоемкость_механизаторов_по_акту_выполненных_работ">'Переменные и константы'!$B$213</definedName>
    <definedName name="Трудоемкость_основных_рабочих_по_акту_выполненных_работ">'Переменные и константы'!$B$212</definedName>
    <definedName name="Укрупненный_норматив_НР_для_расчета_в_текущих_ценах_и_ценах_2001г.">'Переменные и константы'!$B$252</definedName>
    <definedName name="Укрупненный_норматив_НР_для_расчета_в_ценах_1984г.">'Переменные и константы'!$B$254</definedName>
    <definedName name="Укрупненный_норматив_СП_для_расчета_в_текущих_ценах_и_ценах_2001г.">'Переменные и константы'!$B$253</definedName>
    <definedName name="Укрупненный_норматив_СП_для_расчета_в_ценах_1984г.">'Переменные и константы'!$B$255</definedName>
  </definedNames>
  <calcPr fullCalcOnLoad="1"/>
</workbook>
</file>

<file path=xl/comments1.xml><?xml version="1.0" encoding="utf-8"?>
<comments xmlns="http://schemas.openxmlformats.org/spreadsheetml/2006/main">
  <authors>
    <author>&lt;&gt;</author>
    <author>Rus</author>
    <author>Proba</author>
    <author>wall</author>
  </authors>
  <commentList>
    <comment ref="A19" authorId="0">
      <text>
        <r>
          <rPr>
            <sz val="8"/>
            <rFont val="Tahoma"/>
            <family val="2"/>
          </rPr>
          <t xml:space="preserve">  &lt;Номер позиции по смете&gt;</t>
        </r>
      </text>
    </comment>
    <comment ref="B19" authorId="0">
      <text>
        <r>
          <rPr>
            <sz val="8"/>
            <rFont val="Tahoma"/>
            <family val="2"/>
          </rPr>
          <t xml:space="preserve">    &lt;Обоснование (код) позиции&gt;
&lt;Примечание&gt;
--------------------
&lt;Комментарии из базы данных к расценке&gt;</t>
        </r>
      </text>
    </comment>
    <comment ref="C19" authorId="0">
      <text>
        <r>
          <rPr>
            <sz val="8"/>
            <rFont val="Tahoma"/>
            <family val="2"/>
          </rPr>
          <t xml:space="preserve">  &lt;Наименование (текстовая часть) расценки&gt;, &lt;Ед. измерения по расценке&gt;
&lt;Обоснование коэффициентов&gt;
&lt;Формула расчета стоимости единицы&gt;
&lt;Строка задания НР для БИМ&gt;
&lt;Строка задания СП для БИМ&gt;
&lt;Пустой идентификатор&gt;
_______
&lt;Примечание&gt;
</t>
        </r>
      </text>
    </comment>
    <comment ref="D19" authorId="0">
      <text>
        <r>
          <rPr>
            <b/>
            <sz val="8"/>
            <rFont val="Tahoma"/>
            <family val="2"/>
          </rPr>
          <t xml:space="preserve">  &lt;Количество всего (физ. объем) по позиции&gt;
&lt;Формула расчета физ. объема&gt;</t>
        </r>
      </text>
    </comment>
    <comment ref="M19" authorId="0">
      <text>
        <r>
          <rPr>
            <b/>
            <sz val="8"/>
            <rFont val="Tahoma"/>
            <family val="2"/>
          </rPr>
          <t xml:space="preserve">  &lt;ТЗ по позиции на единицу&gt;
&lt;ТЗМ по позиции на единицу&gt;</t>
        </r>
      </text>
    </comment>
    <comment ref="C200" authorId="0">
      <text>
        <r>
          <rPr>
            <b/>
            <sz val="8"/>
            <rFont val="Tahoma"/>
            <family val="2"/>
          </rPr>
          <t xml:space="preserve">  ______________&lt;Составил&gt;</t>
        </r>
      </text>
    </comment>
    <comment ref="F200" authorId="0">
      <text>
        <r>
          <rPr>
            <b/>
            <sz val="8"/>
            <rFont val="Tahoma"/>
            <family val="2"/>
          </rPr>
          <t xml:space="preserve">  ______________&lt;Проверил&gt;</t>
        </r>
      </text>
    </comment>
    <comment ref="J19" authorId="0">
      <text>
        <r>
          <rPr>
            <b/>
            <sz val="8"/>
            <rFont val="Tahoma"/>
            <family val="2"/>
          </rPr>
          <t xml:space="preserve"> &lt;Общая стоимость ОЗП по позиции для БИМ до начисления НР и СП&gt;
</t>
        </r>
      </text>
    </comment>
    <comment ref="K19" authorId="0">
      <text>
        <r>
          <rPr>
            <b/>
            <sz val="8"/>
            <rFont val="Tahoma"/>
            <family val="2"/>
          </rPr>
          <t xml:space="preserve"> &lt;Общая стоимость ЭММ по позиции для БИМ до начисления НР и СП&gt;
&lt;Общая стоимость ЗПМ по позиции для БИМ до начисления НР и СП&gt;</t>
        </r>
      </text>
    </comment>
    <comment ref="A171" authorId="0">
      <text>
        <r>
          <rPr>
            <b/>
            <sz val="8"/>
            <rFont val="Tahoma"/>
            <family val="2"/>
          </rPr>
          <t xml:space="preserve">  &lt;Текстовая часть (итоги)&gt;</t>
        </r>
      </text>
    </comment>
    <comment ref="I171" authorId="0">
      <text>
        <r>
          <rPr>
            <b/>
            <sz val="8"/>
            <rFont val="Tahoma"/>
            <family val="2"/>
          </rPr>
          <t xml:space="preserve">  &lt;Прямые затраты (итоги)&gt;</t>
        </r>
      </text>
    </comment>
    <comment ref="J171" authorId="0">
      <text>
        <r>
          <rPr>
            <b/>
            <sz val="8"/>
            <rFont val="Tahoma"/>
            <family val="2"/>
          </rPr>
          <t xml:space="preserve">  &lt;З/п основных рабочих (итоги)&gt;</t>
        </r>
      </text>
    </comment>
    <comment ref="K171" authorId="0">
      <text>
        <r>
          <rPr>
            <b/>
            <sz val="8"/>
            <rFont val="Tahoma"/>
            <family val="2"/>
          </rPr>
          <t xml:space="preserve">  &lt;Эксплуатация машин (итоги)&gt;
&lt;З/п машинистов (итоги)&gt;</t>
        </r>
      </text>
    </comment>
    <comment ref="H19" authorId="1">
      <text>
        <r>
          <rPr>
            <sz val="8"/>
            <rFont val="Tahoma"/>
            <family val="2"/>
          </rPr>
          <t xml:space="preserve"> &lt;Наименование индекса к позиции&gt;: ОЗП=&lt;Индекс к позиции на ОЗП&gt;; ЭМ=&lt;Индекс к позиции на ЭМ&gt;; ЗПМ=&lt;Индекс к позиции на ЗПМ&gt;; МАТ=&lt;Индекс к позиции на МАТ&gt;
&lt;Дополнительные начисления к индексу&gt;
&lt;Пустой идентификатор&gt;</t>
        </r>
      </text>
    </comment>
    <comment ref="I19" authorId="0">
      <text>
        <r>
          <rPr>
            <b/>
            <sz val="8"/>
            <rFont val="Tahoma"/>
            <family val="2"/>
          </rPr>
          <t xml:space="preserve">  &lt;Общая стоимость ПЗ по позиции для БИМ до начисления НР и СП&gt;
</t>
        </r>
      </text>
    </comment>
    <comment ref="N19" authorId="2">
      <text>
        <r>
          <rPr>
            <b/>
            <sz val="8"/>
            <rFont val="Tahoma"/>
            <family val="2"/>
          </rPr>
          <t xml:space="preserve"> &lt;ТЗ по позиции всего&gt;
&lt;ТЗМ по позиции всего&gt;</t>
        </r>
        <r>
          <rPr>
            <sz val="8"/>
            <rFont val="Tahoma"/>
            <family val="2"/>
          </rPr>
          <t xml:space="preserve">
</t>
        </r>
      </text>
    </comment>
    <comment ref="F1" authorId="0">
      <text>
        <r>
          <rPr>
            <b/>
            <sz val="8"/>
            <rFont val="Tahoma"/>
            <family val="2"/>
          </rPr>
          <t xml:space="preserve">  &lt;Наименование стройки&gt;</t>
        </r>
      </text>
    </comment>
    <comment ref="F4" authorId="2">
      <text>
        <r>
          <rPr>
            <b/>
            <sz val="8"/>
            <rFont val="Tahoma"/>
            <family val="2"/>
          </rPr>
          <t xml:space="preserve"> &lt;Индекс/ЛН локальной сметы&gt;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 xml:space="preserve">  &lt;ПЗ по позиции на единицу в базисных ценах с учетом всех к-тов&gt;</t>
        </r>
        <r>
          <rPr>
            <b/>
            <sz val="8"/>
            <rFont val="Tahoma"/>
            <family val="2"/>
          </rPr>
          <t xml:space="preserve">
&lt;ОЗП по позиции на единицу в базисных ценах с учетом всех к-тов&gt;</t>
        </r>
      </text>
    </comment>
    <comment ref="F19" authorId="0">
      <text>
        <r>
          <rPr>
            <b/>
            <sz val="8"/>
            <rFont val="Tahoma"/>
            <family val="2"/>
          </rPr>
          <t xml:space="preserve">  &lt;ЭММ по позиции на единицу в базисных ценах с учетом всех к-тов&gt;
&lt;ЗПМ по позиции на единицу в базисных ценах с учетом всех к-тов&gt;</t>
        </r>
      </text>
    </comment>
    <comment ref="G19" authorId="2">
      <text>
        <r>
          <rPr>
            <b/>
            <sz val="8"/>
            <rFont val="Tahoma"/>
            <family val="2"/>
          </rPr>
          <t xml:space="preserve"> &lt;МАТ по позиции на единицу в базисных ценах с учетом всех к-тов&gt;</t>
        </r>
        <r>
          <rPr>
            <sz val="8"/>
            <rFont val="Tahoma"/>
            <family val="2"/>
          </rPr>
          <t xml:space="preserve">
</t>
        </r>
      </text>
    </comment>
    <comment ref="L19" authorId="2">
      <text>
        <r>
          <rPr>
            <b/>
            <sz val="8"/>
            <rFont val="Tahoma"/>
            <family val="2"/>
          </rPr>
          <t xml:space="preserve"> =IF(&lt;Количество всего (физ. объем) по позиции&gt;*&lt;МАТ по позиции на единицу в базисных ценах с учетом всех к-тов&gt;=0," ",TEXT(,ROUND((&lt;Количество всего (физ. объем) по позиции&gt;*&lt;МАТ по позиции на единицу в базисных ценах с учетом всех к-тов&gt;*&lt;Индекс к позиции на МАТ&gt;),2)))</t>
        </r>
        <r>
          <rPr>
            <sz val="8"/>
            <rFont val="Tahoma"/>
            <family val="2"/>
          </rPr>
          <t xml:space="preserve">
</t>
        </r>
      </text>
    </comment>
    <comment ref="L171" authorId="2">
      <text>
        <r>
          <rPr>
            <b/>
            <sz val="8"/>
            <rFont val="Tahoma"/>
            <family val="2"/>
          </rPr>
          <t xml:space="preserve"> &lt;Материалы (итоги)&gt;</t>
        </r>
        <r>
          <rPr>
            <sz val="8"/>
            <rFont val="Tahoma"/>
            <family val="2"/>
          </rPr>
          <t xml:space="preserve">
</t>
        </r>
      </text>
    </comment>
    <comment ref="N171" authorId="2">
      <text>
        <r>
          <rPr>
            <b/>
            <sz val="8"/>
            <rFont val="Tahoma"/>
            <family val="2"/>
          </rPr>
          <t xml:space="preserve">  &lt;Трудозатраты основных рабочих (итоги)&gt;
&lt;Трудозатраты машинистов (итоги)&gt;</t>
        </r>
        <r>
          <rPr>
            <sz val="8"/>
            <rFont val="Tahoma"/>
            <family val="2"/>
          </rPr>
          <t xml:space="preserve">
</t>
        </r>
      </text>
    </comment>
    <comment ref="D7" authorId="0">
      <text>
        <r>
          <rPr>
            <b/>
            <sz val="8"/>
            <rFont val="Tahoma"/>
            <family val="2"/>
          </rPr>
          <t xml:space="preserve">  &lt;Наименование локальной сметы&gt;, &lt;Наименование объекта&gt;</t>
        </r>
      </text>
    </comment>
    <comment ref="D12" authorId="3">
      <text>
        <r>
          <rPr>
            <b/>
            <sz val="8"/>
            <rFont val="Tahoma"/>
            <family val="2"/>
          </rPr>
          <t xml:space="preserve"> &lt;Итого ФОТ&gt;</t>
        </r>
      </text>
    </comment>
    <comment ref="A10" authorId="3">
      <text>
        <r>
          <rPr>
            <b/>
            <sz val="8"/>
            <rFont val="Tahoma"/>
            <family val="2"/>
          </rPr>
          <t xml:space="preserve"> &lt;Основание&gt;
</t>
        </r>
      </text>
    </comment>
    <comment ref="C11" authorId="3">
      <text>
        <r>
          <rPr>
            <b/>
            <sz val="8"/>
            <rFont val="Tahoma"/>
            <family val="2"/>
          </rPr>
          <t xml:space="preserve"> &lt;Итого по расчету&gt;</t>
        </r>
      </text>
    </comment>
  </commentList>
</comments>
</file>

<file path=xl/sharedStrings.xml><?xml version="1.0" encoding="utf-8"?>
<sst xmlns="http://schemas.openxmlformats.org/spreadsheetml/2006/main" count="851" uniqueCount="716">
  <si>
    <t xml:space="preserve">12.29. Ограждение кровель перилами: ОЗП=16,45; ЭМ=9,92; ЗПМ=16,45; МАТ=7,67
 </t>
  </si>
  <si>
    <t>159
16</t>
  </si>
  <si>
    <t>7,67
0,36</t>
  </si>
  <si>
    <t>1,79
0,08</t>
  </si>
  <si>
    <t>ФССЦ-201-0777
--------------------
Приказ Минстроя России от 12.11.14 №703/пр</t>
  </si>
  <si>
    <t xml:space="preserve">Конструктивные элементы вспомогательного назначения: с преобладанием профильного проката собираемые из двух и более деталей, с отверстиями и без отверстий, соединяемые на сварке, т
 </t>
  </si>
  <si>
    <t xml:space="preserve">Конструктивные элементы вспомогательного назначения, с преобладанием профильного проката: собираемые из двух и более деталей, с отверстиями и без, соединяемые на сварке; МАТ=7,691
 </t>
  </si>
  <si>
    <t>ФССЦ-509-0801
--------------------
Приказ Минстроя России от 12.11.14 №703/пр</t>
  </si>
  <si>
    <t xml:space="preserve">Трос стальной, м
 </t>
  </si>
  <si>
    <t xml:space="preserve">Трос стальной; МАТ=6,918
 </t>
  </si>
  <si>
    <t xml:space="preserve">Ограждение кровель перилами, 100 м ограждения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96%=126%*(0.85*0,9) от ФОТ
СП 44%=65%*(0.8*0,85) от ФОТ
 </t>
  </si>
  <si>
    <t>565
66</t>
  </si>
  <si>
    <t>6,33
0,3</t>
  </si>
  <si>
    <t xml:space="preserve">Добавить до проектного объема:Конструктивные элементы вспомогательного назначения: с преобладанием профильного проката собираемые из двух и более деталей, с отверстиями и без отверстий, соединяемые на сварке, т
 </t>
  </si>
  <si>
    <t>ФЕР09-03-029-01
--------------------
Приказ Минстроя РФ от 30.01.14 №31/пр</t>
  </si>
  <si>
    <t xml:space="preserve">Монтаж лестниц прямолинейных и криволинейных, пожарных с ограждением, 1 т конструкций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73%=95%*(0.85*0,9) от ФОТ
СП 58%=85%*(0.8*0,85) от ФОТ
 </t>
  </si>
  <si>
    <t>1303,28
349,92</t>
  </si>
  <si>
    <t>864,86
95,31</t>
  </si>
  <si>
    <t xml:space="preserve">9.35 Монтаж лестниц прямолинейных и криволинейных, пожарных с ограждением: ОЗП=16,45; ЭМ=10,28; ЗПМ=16,45; МАТ=5,25
 </t>
  </si>
  <si>
    <t>164
33</t>
  </si>
  <si>
    <t>37,23
7,05</t>
  </si>
  <si>
    <t>0,71
0,13</t>
  </si>
  <si>
    <t>ФЕР13-03-004-26
--------------------
Приказ Минстроя РФ от 30.01.14 №31/пр</t>
  </si>
  <si>
    <t xml:space="preserve">Окраска металлических огрунтованных поверхностей: эмалью ПФ-115, 100 м2 окрашиваемой поверхности
(ПЗ=2 (ОЗП=2; ЭМ=2 к расх.; ЗПМ=2; МАТ=2 к расх.; ТЗ=2; ТЗМ=2);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73%=95%*(0.85*0,9) от ФОТ
СП 48%=70%*(0.8*0,85) от ФОТ
 </t>
  </si>
  <si>
    <t>658,01
79,9</t>
  </si>
  <si>
    <t>15,55
0,25</t>
  </si>
  <si>
    <t xml:space="preserve">13.100 Окраска металлических огрунтованных поверхностей: эмалью ПФ-115: ОЗП=16,45; ЭМ=10,62; ЗПМ=16,45; МАТ=4,94
 </t>
  </si>
  <si>
    <t>8,81
0,03</t>
  </si>
  <si>
    <t xml:space="preserve">Устройство лестниц к слуховым  окнам, 1 м3 древесины в конструкции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95%=124%*(0.85*0,9) от ФОТ
СП 43%=63%*(0.8*0,85) от ФОТ
 </t>
  </si>
  <si>
    <t>4078
139</t>
  </si>
  <si>
    <t>1153,75
10,87</t>
  </si>
  <si>
    <t>45040
2287</t>
  </si>
  <si>
    <t>Итоги по разделу 2 Устройство крыши :</t>
  </si>
  <si>
    <t>491,31
1,83</t>
  </si>
  <si>
    <t>108,82
1,46</t>
  </si>
  <si>
    <t xml:space="preserve">  Материалы для строительных работ</t>
  </si>
  <si>
    <t xml:space="preserve">  Сантехнические работы - внутренние (трубопроводы, водопровод, канализация, отопление, газоснабжение, вентиляция и кондиционирование воздуха)</t>
  </si>
  <si>
    <t xml:space="preserve">  Теплоизоляционные работы</t>
  </si>
  <si>
    <t xml:space="preserve">  Отделочные работы</t>
  </si>
  <si>
    <t xml:space="preserve">  Кровли</t>
  </si>
  <si>
    <t>269,28
4,22</t>
  </si>
  <si>
    <t xml:space="preserve">  Строительные металлические конструкции</t>
  </si>
  <si>
    <t>2,6
0,13</t>
  </si>
  <si>
    <t xml:space="preserve">  Защита строительных конструкций и оборудования от коррозии</t>
  </si>
  <si>
    <t xml:space="preserve">  Итого по разделу 2 Устройство крыши</t>
  </si>
  <si>
    <t xml:space="preserve">                           Раздел 3. Утепление чердачного перекрытия</t>
  </si>
  <si>
    <t xml:space="preserve">Устройство покрытия из рулонных материалов: насухо без промазки кромок, 100 м2 кровли
НР 74%=87%*0,85 от ФОТ
СП 52%=65%*0,8 от ФОТ
 </t>
  </si>
  <si>
    <t>5,215
2,97+2,245</t>
  </si>
  <si>
    <t>ФССЦ-101-7198
--------------------
Приказ Минстроя России от 12.11.14 №703/пр</t>
  </si>
  <si>
    <t xml:space="preserve">ИЗОСПАН: В, 10 м2
 </t>
  </si>
  <si>
    <t>34,155
297*1,15/10</t>
  </si>
  <si>
    <t xml:space="preserve">ТССЦ-104-9221-90002 13.61/2,75=4,95; МАТ=4,95
 </t>
  </si>
  <si>
    <t>ФССЦ-101-7194
--------------------
Приказ Минстроя России от 12.11.14 №703/пр</t>
  </si>
  <si>
    <t xml:space="preserve">ИЗОСПАН: А, 10 м2
 </t>
  </si>
  <si>
    <t>25,8175
224,5*1,15/10</t>
  </si>
  <si>
    <t xml:space="preserve">ТССЦ-104-9221-90001   19.43/3,92=4,96; МАТ=4,96
 </t>
  </si>
  <si>
    <t>ФЕР12-01-013-03, прим.
--------------------
Приказ Минстроя РФ от 30.01.14 №31/пр</t>
  </si>
  <si>
    <t xml:space="preserve">Утепление покрытий плитами: из минеральной ваты или перлита на битумной мастике в один слой (насухо), 100 м2 утепляемого покрытия
(МАТ=0 к расх.;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96%=126%*(0.85*0,9) от ФОТ
СП 44%=65%*(0.8*0,85) от ФОТ
 </t>
  </si>
  <si>
    <t>663,36
498,05</t>
  </si>
  <si>
    <t>165,31
9,29</t>
  </si>
  <si>
    <t xml:space="preserve">12.31. Утепление покрытий плитами: из минеральной ваты или перлита на битумной мастике: ОЗП=16,45; ЭМ=9,01; ЗПМ=16,45; МАТ=6,8
 </t>
  </si>
  <si>
    <t>3343
345</t>
  </si>
  <si>
    <t>52,37
0,69</t>
  </si>
  <si>
    <t>117,57
1,55</t>
  </si>
  <si>
    <t>ФЕР12-01-013-04, прим.
--------------------
Приказ Минстроя РФ от 30.01.14 №31/пр</t>
  </si>
  <si>
    <t xml:space="preserve">Утепление покрытий плитами: на каждый последующий слой добавлять к расценке 12-01-013-03 (насухо), 100 м2 утепляемого покрытия
(ПЗ=2 (ОЗП=2; ЭМ=2 к расх.; ЗПМ=2; МАТ=0 к расх.; ТЗ=2; ТЗМ=2);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96%=126%*(0.85*0,9) от ФОТ
СП 44%=65%*(0.8*0,85) от ФОТ
 </t>
  </si>
  <si>
    <t>1087,62
771,24</t>
  </si>
  <si>
    <t>316,38
18,58</t>
  </si>
  <si>
    <t>6397
691</t>
  </si>
  <si>
    <t>81,1
1,38</t>
  </si>
  <si>
    <t>182,07
3,1</t>
  </si>
  <si>
    <t>ФЕР12-01-013-04
--------------------
Приказ Минстроя РФ от 30.01.14 №31/пр</t>
  </si>
  <si>
    <t xml:space="preserve">Утепление покрытий плитами:доп. слой, 100 м2 утепляемого покрытия
(ПЗ=2 (ОЗП=2; ЭМ=2 к расх.; ЗПМ=2; МАТ=2 к расх.; ТЗ=2; ТЗМ=2);
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96%=126%*(0.85*0,9) от ФОТ
СП 44%=65%*(0.8*0,85) от ФОТ
 </t>
  </si>
  <si>
    <t>9001,2
771,24</t>
  </si>
  <si>
    <t>2325
247</t>
  </si>
  <si>
    <t>66,02
1,12</t>
  </si>
  <si>
    <t>ТССЦ-2/2015 ТССЦ-104-9100-91004</t>
  </si>
  <si>
    <t xml:space="preserve">Плиты теплоизоляционные энергетические гидрофобизированные базальтовые: ПТЭ-125 , размером 2000х1000х50 мм 3868,28/5,58, м3
 </t>
  </si>
  <si>
    <t xml:space="preserve">; МАТ=5,58
 </t>
  </si>
  <si>
    <t>ФЕР10-01-023-01
--------------------
Приказ Минстроя РФ от 30.01.14 №31/пр</t>
  </si>
  <si>
    <t xml:space="preserve">Укладка ходовых досок, 100 м ходов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95%=124%*(0.85*0,9) от ФОТ
СП 43%=63%*(0.8*0,85) от ФОТ
 </t>
  </si>
  <si>
    <t>1059,33
36,62</t>
  </si>
  <si>
    <t>15,56
1,35</t>
  </si>
  <si>
    <t xml:space="preserve">10.54. Укладка ходовых досок: ОЗП=16,45; ЭМ=10,88; ЗПМ=16,45; МАТ=5,34
 </t>
  </si>
  <si>
    <t>87
16</t>
  </si>
  <si>
    <t>4,37
0,1</t>
  </si>
  <si>
    <t>2,14
0,05</t>
  </si>
  <si>
    <t>5580
115</t>
  </si>
  <si>
    <t>51,72
0,63</t>
  </si>
  <si>
    <t xml:space="preserve">Антисептик-антипирен «ПИРИЛАКС-ЛЮКС» для древесины, кг
 </t>
  </si>
  <si>
    <t>104,49
348,3*0,3</t>
  </si>
  <si>
    <t xml:space="preserve">Установка люков в перекрытиях, площадь проема до 2 м2, 100 м2 проемов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95%=124%*(0.85*0,9) от ФОТ
СП 43%=63%*(0.8*0,85) от ФОТ
 </t>
  </si>
  <si>
    <t>52500,52
1183,73</t>
  </si>
  <si>
    <t>1256,5
163,53</t>
  </si>
  <si>
    <t>238
49</t>
  </si>
  <si>
    <t>139,92
12,11</t>
  </si>
  <si>
    <t>2,24
0,19</t>
  </si>
  <si>
    <t>ФССЦ-203-0238
--------------------
Приказ Минстроя России от 12.11.14 №703/пр</t>
  </si>
  <si>
    <t xml:space="preserve">Люки и лазы со щитовыми полотнами утепленные минераловатной плитой с деревянной обшивкой и защитой оцинкованной сталью полотен и коробок: двупольные ДЛ 13-15, площадь 1,89 м2, м2
 </t>
  </si>
  <si>
    <t xml:space="preserve">Люки и лазы со щитовыми полотнами утепленные минераловатной плитой с деревянной обшивкой и защитой оцинкованной сталью полотен и коробок:двупольные ДЛ 13-15, площадь 1,89 м2; МАТ=8,263
 </t>
  </si>
  <si>
    <t>ФССЦ-203-0236
--------------------
Приказ Минстроя России от 12.11.14 №703/пр</t>
  </si>
  <si>
    <t xml:space="preserve">Люки и лазы со щитовыми полотнами утепленные минераловатной плитой с деревянной обшивкой и защитой оцинкованной сталью полотен и коробок: однопольные ДЛ 10-10, площадь 0,97 м2; ДЛ 13-10, площадь 1,26 м2, м2
 </t>
  </si>
  <si>
    <t xml:space="preserve">Люки и лазы со щитовыми полотнами утепленные минераловатной плитой с деревянной обшивкой и защитой оцинкованной сталью полотен и коробок:однопольные ДЛ 10-10, площадь 0,97 м2; ДЛ 13-10, площадь 1,26 м2; МАТ=7,063
 </t>
  </si>
  <si>
    <t>1894
89</t>
  </si>
  <si>
    <t>445,33
6,64</t>
  </si>
  <si>
    <t>18278
1463</t>
  </si>
  <si>
    <t>Итоги по разделу 3 Утепление чердачного перекрытия :</t>
  </si>
  <si>
    <t>365,66
5,77</t>
  </si>
  <si>
    <t>4,38
0,24</t>
  </si>
  <si>
    <t xml:space="preserve">  Итого по разделу 3 Утепление чердачного перекрытия</t>
  </si>
  <si>
    <t xml:space="preserve">                           Раздел 4. Перевозки</t>
  </si>
  <si>
    <t>ФССЦпг03-02-01-200
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</si>
  <si>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200 км I класс груза, 1 т груза
НР 0%=0%*0.85 от ФОТ
СП 0%=0%*0.8 от ФОТ
 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</si>
  <si>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200 км.: I класс груза; ЭМ=11,42
 </t>
  </si>
  <si>
    <t>ФССЦпг03-02-02-200
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</si>
  <si>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200 км II класс груза, 1 т груза
НР 0%=0%*0.85 от ФОТ
СП 0%=0%*0.8 от ФОТ
 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</si>
  <si>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200 км.: II класс груза; ЭМ=11,42
 </t>
  </si>
  <si>
    <t>ФССЦпг03-02-04-200
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</si>
  <si>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200 км IV класс груза, 1 т груза
НР 0%=0%*0.85 от ФОТ
СП 0%=0%*0.8 от ФОТ
 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</si>
  <si>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на расстояние до 200 км.: IV класс груза; ЭМ=11,42
 </t>
  </si>
  <si>
    <t>ФССЦпг03-02-01-201
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</si>
  <si>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свыше 200 км добавлять на каждый последующий 1 км: I класс груза, 1 т груза
(320км ПЗ=120 (ОЗП=120; ЭМ=120 к расх.; ЗПМ=120; МАТ=120 к расх.; ТЗ=120; ТЗМ=120))
НР 0%=0%*0.85 от ФОТ
СП 0%=0%*0.8 от ФОТ
 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</si>
  <si>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свыше 200 км добавлять на каждый последующий 1 км: : I класс груза; ЭМ=11,42
 </t>
  </si>
  <si>
    <t>ФССЦпг03-02-02-201
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</si>
  <si>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свыше 200 км добавлять на каждый последующий 1 км: II класс груза, 1 т груза
(320 ПЗ=120 (ОЗП=120; ЭМ=120 к расх.; ЗПМ=120; МАТ=120 к расх.; ТЗ=120; ТЗМ=120))
НР 0%=0%*0.85 от ФОТ
СП 0%=0%*0.8 от ФОТ
 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</si>
  <si>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свыше 200 км добавлять на каждый последующий 1 км: : II класс груза; ЭМ=11,42
 </t>
  </si>
  <si>
    <t>ФССЦпг03-02-04-201
--------------------
Приказ Минстроя РФ от 30.01.14 №31/пр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</si>
  <si>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свыше 200 км добавлять на каждый последующий 1 км: IV класс груза, 1 т груза
(320 ПЗ=120 (ОЗП=120; ЭМ=120 к расх.; ЗПМ=120; МАТ=120 к расх.; ТЗ=120; ТЗМ=120))
НР 0%=0%*0.85 от ФОТ
СП 0%=0%*0.8 от ФОТ
 </t>
  </si>
  <si>
    <t xml:space="preserve">Перевозка строительных грузов (кроме массовых навалочных, перевозимых автомобилями-самосвалами, а также бетонных и железобетонных изделий, стеновых и перегородочных материалов, лесоматериалов круглых и пиломатериалов, включенных в таблицу 03-01), бортовым автомобилем грузоподъемностью 5 т, свыше 200 км добавлять на каждый последующий 1 км: : IV класс груза; ЭМ=11,42
 </t>
  </si>
  <si>
    <t>Итоги по разделу 4 Перевозки :</t>
  </si>
  <si>
    <t xml:space="preserve">  Итого по разделу 4 Перевозки</t>
  </si>
  <si>
    <t>Итого прямые затраты по смете в ценах 2001г.</t>
  </si>
  <si>
    <t>12065
265</t>
  </si>
  <si>
    <t>2101,61
20,28</t>
  </si>
  <si>
    <t>Итого прямые затраты по смете с учетом индексов, в текущих ценах</t>
  </si>
  <si>
    <t>131383
4358</t>
  </si>
  <si>
    <t>Итоги по смете:</t>
  </si>
  <si>
    <t>189,66
3,1</t>
  </si>
  <si>
    <t>614,8
2,89</t>
  </si>
  <si>
    <t>318,43
3,86</t>
  </si>
  <si>
    <t>634,94
9,99</t>
  </si>
  <si>
    <t xml:space="preserve">  ВСЕГО по смете</t>
  </si>
  <si>
    <t>Составлен(а) в текущих ценах по состоянию на 2 кв. 2015 года</t>
  </si>
  <si>
    <r>
      <t xml:space="preserve">Стоимость единицы                                        </t>
    </r>
    <r>
      <rPr>
        <i/>
        <sz val="9"/>
        <rFont val="Times New Roman"/>
        <family val="1"/>
      </rPr>
      <t>(в базисном уровне цен с учетом всех коэффициентов к позиции)</t>
    </r>
  </si>
  <si>
    <r>
      <t xml:space="preserve">Общая стоимость                                                                    </t>
    </r>
    <r>
      <rPr>
        <i/>
        <sz val="9"/>
        <rFont val="Times New Roman"/>
        <family val="1"/>
      </rPr>
      <t>(в текущем уровне цен)</t>
    </r>
  </si>
  <si>
    <t>Сметная стоимость в базисных ценах</t>
  </si>
  <si>
    <t>Строительные работы в базисных ценах</t>
  </si>
  <si>
    <t>Монтажные работы в базисных ценах</t>
  </si>
  <si>
    <t>Оборудование в базисных ценах</t>
  </si>
  <si>
    <t>Прочие затраты в базисных ценах</t>
  </si>
  <si>
    <t>Проверил</t>
  </si>
  <si>
    <t>Заказчик</t>
  </si>
  <si>
    <t>Инвестор</t>
  </si>
  <si>
    <t>Наименование пускового комплекса</t>
  </si>
  <si>
    <t>Наименование стройки</t>
  </si>
  <si>
    <t>Наименование объекта</t>
  </si>
  <si>
    <t>Наименование очереди</t>
  </si>
  <si>
    <t>Наименование локальной сметы</t>
  </si>
  <si>
    <t>Наименование объектной сметы</t>
  </si>
  <si>
    <t>Наименование сводного сметного расчета</t>
  </si>
  <si>
    <t>Сметная стоимость по ресурсному расчету</t>
  </si>
  <si>
    <t>Капитальный ремонт многоквартирного дома, расположенного по адресу: Томская область, г.Колпашево, пер.Юбилейный .д. 2.Капитальный ремонт крыши</t>
  </si>
  <si>
    <t>Итого ЗПМ при расчете по стоимости ч/часа работы механизаторов</t>
  </si>
  <si>
    <t>Нормативная трудоемкость основных рабочих по смете</t>
  </si>
  <si>
    <t>Нормативная трудоемкость механизаторов по смете</t>
  </si>
  <si>
    <t>Итого ФОТ при расчете по доле з/п в стоимости эксплуатации машин</t>
  </si>
  <si>
    <t>Трудоемкость основных рабочих по акту выполненных работ</t>
  </si>
  <si>
    <t>Трудоемкость механизаторов по акту выполненных работ</t>
  </si>
  <si>
    <t xml:space="preserve">Стоимость по акту выполненных работ в базисных ценах </t>
  </si>
  <si>
    <t>Итого ПЗ по акту выполненных работ в базисных ценах</t>
  </si>
  <si>
    <t>Итого ОЗП по акту выполненных работ в базисных ценах</t>
  </si>
  <si>
    <t>Итого ЗПМ по акту выполненных работ в базисных ценах</t>
  </si>
  <si>
    <t>Итого ФОТ по акту выполненных работ в базисных ценах</t>
  </si>
  <si>
    <t>Итого материалы по акту выполненных работ в базисных ценах</t>
  </si>
  <si>
    <t>Итого машины и механизмы по акту выполненных работ в базисных ценах</t>
  </si>
  <si>
    <t>Стоимость по акту выполненных работ при ресурсном расчете</t>
  </si>
  <si>
    <t>Итого ПЗ по акту выполненных работ при ресурсном расчете</t>
  </si>
  <si>
    <t>Итого ОЗП по акту выполненных работ при ресурсном расчете</t>
  </si>
  <si>
    <t>Итого ЗПМ по акту выполненных работ при ресурсном расчете</t>
  </si>
  <si>
    <t>Итого ФОТ по акту выполненных работ при ресурсном расчете</t>
  </si>
  <si>
    <t>Итого материалы по акту выполненных работ при ресурсном расчете</t>
  </si>
  <si>
    <t>Итого машины и механизмы по акту выполненных работ при ресурсном расчете</t>
  </si>
  <si>
    <t>Отчетный период (учет выполненных работ)</t>
  </si>
  <si>
    <t xml:space="preserve">Укрупненный норматив НР для расчета в текущих ценах и ценах 2001г. </t>
  </si>
  <si>
    <t>Укрупненный норматив СП для расчета в текущих ценах и ценах 2001г.</t>
  </si>
  <si>
    <t>Укрупненный норматив СП для расчета в ценах 1984г.</t>
  </si>
  <si>
    <t>Укрупненный норматив НР для расчета в ценах 1984г.</t>
  </si>
  <si>
    <t>Итого ПЗ в базисных ценах</t>
  </si>
  <si>
    <t>Итого ОЗП в базисных ценах</t>
  </si>
  <si>
    <t>Итого ЗПМ в базисных ценах</t>
  </si>
  <si>
    <t>Итого ФОТ в базисных ценах</t>
  </si>
  <si>
    <t>Итого материалы в базисных ценах</t>
  </si>
  <si>
    <t>Итого машины и механизмы в базисных ценах</t>
  </si>
  <si>
    <t xml:space="preserve">Районный к-т к ЗП </t>
  </si>
  <si>
    <t>Наименование группы строек</t>
  </si>
  <si>
    <t>Итого НР в базисных ценах</t>
  </si>
  <si>
    <t>Итого СП в базисных ценах</t>
  </si>
  <si>
    <t>Итого НР по ресурсному расчету</t>
  </si>
  <si>
    <t>Итого СП по ресурсному расчету</t>
  </si>
  <si>
    <t>Итого НР по акту в базисных ценах</t>
  </si>
  <si>
    <t>Итого СП по акту в базисных ценах</t>
  </si>
  <si>
    <t>Итого НР по акту при ресурсном расчете</t>
  </si>
  <si>
    <t>Итого СП по акту при ресурсном расчете</t>
  </si>
  <si>
    <t>Норм_трудоемкость осн_рабочих по смете с учетом к-тов</t>
  </si>
  <si>
    <t>Норм_трудоемкость механизаторов по смете с учетом к-тов</t>
  </si>
  <si>
    <t>Итого ЭММ в базисных ценах с учетом к-тов</t>
  </si>
  <si>
    <t xml:space="preserve">Итого материалы в базисных ценах с учетом к-тов </t>
  </si>
  <si>
    <t>Итого ЗПМ в базисных ценах с учетом к-тов</t>
  </si>
  <si>
    <t xml:space="preserve">Итого ОЗП в базисных ценах с учетом к-тов </t>
  </si>
  <si>
    <t>Итого ПЗ в базисных ценах с учетом к-тов</t>
  </si>
  <si>
    <t>Итого ПЗ по рес_расчету с учетом к-тов</t>
  </si>
  <si>
    <t>Итого ОЗП по рес_расчету с учетом к-тов</t>
  </si>
  <si>
    <t>Итого ЗПМ  по рес_расчету с учетом к-тов</t>
  </si>
  <si>
    <t>Итого материалы  по рес_расчету с учетом к-тов</t>
  </si>
  <si>
    <t>Итого ЭММ  по рес_расчету с учетом к-тов</t>
  </si>
  <si>
    <t>Труд_основн_рабочих по акту вып_работ с учетом к-тов</t>
  </si>
  <si>
    <t>Труд_механизаторов по акту вып_работ с учетом к-тов</t>
  </si>
  <si>
    <t>Итого ПЗ по акту вып_работ в базисных ценах с учетом к-тов</t>
  </si>
  <si>
    <t>Итого ОЗП по акту вып_работ в базисных ценах с учетом к-тов</t>
  </si>
  <si>
    <t>Итого ЗПМ по акту вып_работ в базисных ценах с учетом к-тов</t>
  </si>
  <si>
    <t>Итого МАТ по акту вып_работ в базисных ценах с учетом к-тов</t>
  </si>
  <si>
    <t>Итого ЭММ по акту вып_работ в базисных ценах с учетом к-тов</t>
  </si>
  <si>
    <t>Итого ПЗ по акту вып_работ при ресурсном расчете с учетом к-тов</t>
  </si>
  <si>
    <t>Итого ОЗП по акту вып_работ при ресурсном расчете с учетом к-тов</t>
  </si>
  <si>
    <t>Итого ЗПМ по акту вып_работ при ресурсном расчете с учетом к-тов</t>
  </si>
  <si>
    <t>Итого МАТ по акту вып_работ при ресурсном расчете с учетом к-тов</t>
  </si>
  <si>
    <t>Итого ЭММ по акту вып_работ при ресурсном расчете с учетом к-тов</t>
  </si>
  <si>
    <t>(наименование стройки)</t>
  </si>
  <si>
    <t>(локальная смета)</t>
  </si>
  <si>
    <t>№ пп</t>
  </si>
  <si>
    <t>Номер позиции по смете</t>
  </si>
  <si>
    <t>Номер позиции по порядку (в актах выполненных работ)</t>
  </si>
  <si>
    <t>Обоснование (код) позиции</t>
  </si>
  <si>
    <t>К-ты к позиции (результат)</t>
  </si>
  <si>
    <t>Обоснование коэффициентов</t>
  </si>
  <si>
    <t>Наименование (текстовая часть) расценки</t>
  </si>
  <si>
    <t>Ед. измерения по расценке</t>
  </si>
  <si>
    <t>Количество всего (физ. объем) по позиции</t>
  </si>
  <si>
    <t xml:space="preserve">ПЗ по позиции на единицу в базисных ценах </t>
  </si>
  <si>
    <t>ОЗП по позиции на единицу в базисных ценах</t>
  </si>
  <si>
    <t xml:space="preserve">ЭММ по позиции на единицу в базисных ценах </t>
  </si>
  <si>
    <t xml:space="preserve">ЗПМ по позиции на единицу в базисных ценах </t>
  </si>
  <si>
    <t xml:space="preserve">МАТ по позиции на единицу в базисных ценах </t>
  </si>
  <si>
    <t xml:space="preserve">Оборудование по позиции на единицу в базисных ценах </t>
  </si>
  <si>
    <t>ПЗ по позиции на единицу в базисных ценах с учетом к-тов к позиции</t>
  </si>
  <si>
    <t>ОЗП по позиции на единицу в базисных ценах с учетом к-тов к позиции</t>
  </si>
  <si>
    <t>ЭММ по позиции на единицу в базисных ценах с учетом к-тов к позиции</t>
  </si>
  <si>
    <t>ЗПМ по позиции на единицу в базисных ценах с учетом к-тов к позиции</t>
  </si>
  <si>
    <t>МАТ по позиции на единицу в базисных ценах с учетом к-тов к позиции</t>
  </si>
  <si>
    <t>Оборудование на единицу в базисных ценах с учетом к-тов к позиции</t>
  </si>
  <si>
    <t xml:space="preserve">ПЗ по позиции на единицу после применения индекса </t>
  </si>
  <si>
    <t xml:space="preserve">ЭММ по позиции на единицу после применения индекса </t>
  </si>
  <si>
    <t xml:space="preserve">ЗПМ по позиции на единицу после применения индекса </t>
  </si>
  <si>
    <t xml:space="preserve">МАТ по позиции на единицу после применения индекса </t>
  </si>
  <si>
    <t xml:space="preserve">Оборудование по позиции на единицу после применения индекса </t>
  </si>
  <si>
    <t>Общая стоимость ПЗ по позиции в базисных ценах</t>
  </si>
  <si>
    <t>Общая стоимость ОЗП по позиции в базисных ценах</t>
  </si>
  <si>
    <t>Общая стоимость ЭММ по позиции в базисных ценах</t>
  </si>
  <si>
    <t>Общая стоимость ЗПМ по позиции в базисных ценах</t>
  </si>
  <si>
    <t>Общая стоимость МАТ по позиции в базисных ценах</t>
  </si>
  <si>
    <t>Общая стоимость оборудования по позиции в базисных ценах</t>
  </si>
  <si>
    <t>ТЗ по позиции на единицу</t>
  </si>
  <si>
    <t>ТЗ по позиции всего</t>
  </si>
  <si>
    <t>ТЗМ по позиции на единицу</t>
  </si>
  <si>
    <t>ТЗМ по позиции всего</t>
  </si>
  <si>
    <t xml:space="preserve">ПЗ по позиции на единицу в текущих ценах </t>
  </si>
  <si>
    <t>ОЗП по позиции на единицу в текущих ценах</t>
  </si>
  <si>
    <t xml:space="preserve">ЭММ по позиции на единицу в текущих ценах </t>
  </si>
  <si>
    <t xml:space="preserve">ЗПМ по позиции на единицу в текущих ценах </t>
  </si>
  <si>
    <t xml:space="preserve">МАТ по позиции на единицу в текущих ценах </t>
  </si>
  <si>
    <t xml:space="preserve">Оборудование по позиции на единицу в текущих ценах </t>
  </si>
  <si>
    <t>ПЗ по позиции на единицу в текущих ценах с учетом к-тов к позиции</t>
  </si>
  <si>
    <t>ОЗП по позиции на единицу в текущих ценах с учетом к-тов к позиции</t>
  </si>
  <si>
    <t>ЭММ по позиции на единицу в текущих ценах с учетом к-тов к позиции</t>
  </si>
  <si>
    <t>ЗПМ по позиции на единицу в текущих ценах с учетом к-тов к позиции</t>
  </si>
  <si>
    <t>МАТ по позиции на единицу в текущих ценах с учетом к-тов к позиции</t>
  </si>
  <si>
    <t>Оборудование на единицу в текущих ценах с учетом к-тов к позиции</t>
  </si>
  <si>
    <t>Общая стоимость ПЗ по позиции в текущих ценах</t>
  </si>
  <si>
    <t>Общая стоимость ОЗП по позиции в текущих ценах</t>
  </si>
  <si>
    <t>Общая стоимость ЭММ по позиции в текущих ценах</t>
  </si>
  <si>
    <t>Общая стоимость ЗПМ по позиции в текущих ценах</t>
  </si>
  <si>
    <t>Общая стоимость МАТ по позиции в текущих ценах</t>
  </si>
  <si>
    <t>Общая стоимость оборудования по позиции в текущих ценах</t>
  </si>
  <si>
    <t>Индекс пересчета МАТ по позиции из базисных цен 1984г. в текущие</t>
  </si>
  <si>
    <t>Обоснование индекса пересчета по позиции из базисных цен 1984г. в текущие</t>
  </si>
  <si>
    <t>Индекс пересчета ПЗ по позиции из базисных цен 2001г. в текущие</t>
  </si>
  <si>
    <t>Индекс пересчета ОЗП по позиции из базисных цен 2001г. в текущие</t>
  </si>
  <si>
    <t>Индекс пересчета ЭМ по позиции из базисных цен 2001г. в текущие</t>
  </si>
  <si>
    <t>Индекс пересчета ЗПМ по позиции из базисных цен 2001г. в текущие</t>
  </si>
  <si>
    <t>Индекс пересчета МАТ по позиции из базисных цен 2001г. в текущие</t>
  </si>
  <si>
    <t>Обоснование индекса пересчета по позиции из базисных цен 2001г. в текущие</t>
  </si>
  <si>
    <t>Индекс пересчета ПЗ по позиции из цен 1984г. в цены 2001г.</t>
  </si>
  <si>
    <t>Индекс пересчета ОЗП по позиции из цен 1984г. в цены 2001г.</t>
  </si>
  <si>
    <t>Индекс пересчета ЭМ по позиции из цен 1984г. в цены 2001г.</t>
  </si>
  <si>
    <t>Индекс пересчета ЗПМ по позиции из цен 1984г. в цены 2001г.</t>
  </si>
  <si>
    <t>Индекс пересчета МАТ по позиции из цен 1984г. в цены 2001г.</t>
  </si>
  <si>
    <t>Обоснование индекса пересчета по позиции из цен 1984г. в цены 2001г.</t>
  </si>
  <si>
    <t>Обоснование территориальной поправки к расценкам 2001г.</t>
  </si>
  <si>
    <t>Территориальная поправка к ПЗ к расценкам 2001г.</t>
  </si>
  <si>
    <t>Территориальная поправка к ОЗП к расценкам 2001г.</t>
  </si>
  <si>
    <t>Территориальная поправка к ЭМ к расценкам 2001г.</t>
  </si>
  <si>
    <t>Территориальная поправка к ЗПМ к расценкам 2001г.</t>
  </si>
  <si>
    <t>Территориальная поправка к МАТ к расценкам 2001г.</t>
  </si>
  <si>
    <t>Код ресурса</t>
  </si>
  <si>
    <t xml:space="preserve">Наименование ресурса </t>
  </si>
  <si>
    <t>Единица измерения ресурса</t>
  </si>
  <si>
    <t>Количество ресурса на единицу измерения</t>
  </si>
  <si>
    <t>Общее количество ресурса (на физ. объем)</t>
  </si>
  <si>
    <t>Сметная базисная цена ресурса (на ед. измерения)</t>
  </si>
  <si>
    <t>Сметная базисная цена ресурса (на физ. объем)</t>
  </si>
  <si>
    <t>Обоснование базисной цены ресурса</t>
  </si>
  <si>
    <t>Сметная текущая цена ресурса (на ед. измерения)</t>
  </si>
  <si>
    <t>Сметная текущая цена ресурса (на физ. объем)</t>
  </si>
  <si>
    <t>Обоснование текущей цены ресурса</t>
  </si>
  <si>
    <t>Базисная ЗП по ресурсу (для машин и механизмов)</t>
  </si>
  <si>
    <t>Текущая ЗП по ресурсу (для машин и механизмов)</t>
  </si>
  <si>
    <t>№</t>
  </si>
  <si>
    <t>Индекс/ЛН группы строек</t>
  </si>
  <si>
    <t>Дата изменения группы строек</t>
  </si>
  <si>
    <t>Дата создания группы строек</t>
  </si>
  <si>
    <t>Регистрационный номер группы строек</t>
  </si>
  <si>
    <t>Описание группы строек</t>
  </si>
  <si>
    <t>Индекс/ЛН очереди</t>
  </si>
  <si>
    <t>Дата изменения очереди</t>
  </si>
  <si>
    <t>Дата создания очереди</t>
  </si>
  <si>
    <t>Регистрационный номер очереди</t>
  </si>
  <si>
    <t>Описание очереди</t>
  </si>
  <si>
    <t>Индекс/ЛН пускового комплекса</t>
  </si>
  <si>
    <t>Дата изменения пускового комплекса</t>
  </si>
  <si>
    <t>Дата создания пускового комплекса</t>
  </si>
  <si>
    <t>Регистрационный номер пускового комплекса</t>
  </si>
  <si>
    <t>Описание пускового комплекса</t>
  </si>
  <si>
    <t>Индекс/ЛН стройки</t>
  </si>
  <si>
    <t>Дата изменения стройки</t>
  </si>
  <si>
    <t>Дата создания стройки</t>
  </si>
  <si>
    <t>Регистрационный номер стройки</t>
  </si>
  <si>
    <t>Описание стройки</t>
  </si>
  <si>
    <t>Индекс/ЛН объекта</t>
  </si>
  <si>
    <t>Дата изменения объекта</t>
  </si>
  <si>
    <t>Дата создания объекта</t>
  </si>
  <si>
    <t>Регистрационный номер объекта</t>
  </si>
  <si>
    <t>Описание объекта</t>
  </si>
  <si>
    <t>Индекс/ЛН сводного сметного расчета</t>
  </si>
  <si>
    <t>Дата изменения сводного сметного расчета</t>
  </si>
  <si>
    <t>Дата создания сводного сметного расчета</t>
  </si>
  <si>
    <t>Регистрационный номер сводного сметного расчета</t>
  </si>
  <si>
    <t>Описание сводного сметного расчета</t>
  </si>
  <si>
    <t>Индекс/ЛН объектной сметы</t>
  </si>
  <si>
    <t>Дата изменения объектной сметы</t>
  </si>
  <si>
    <t>Дата создания объектной сметы</t>
  </si>
  <si>
    <t>Регистрационный номер объектной сметы</t>
  </si>
  <si>
    <t>Описание объектной сметы</t>
  </si>
  <si>
    <t>Индекс/ЛН локальной сметы</t>
  </si>
  <si>
    <t>Дата изменения локальной сметы</t>
  </si>
  <si>
    <t>Дата создания локальной сметы</t>
  </si>
  <si>
    <t>Регистрационный номер локальной сметы</t>
  </si>
  <si>
    <t>Описание локальной сметы</t>
  </si>
  <si>
    <t>Основание</t>
  </si>
  <si>
    <t>Составил</t>
  </si>
  <si>
    <t>Сметная стоимость в текущих ценах после применения индексов</t>
  </si>
  <si>
    <t>Строительные работы в текущих ценах после применения индексов</t>
  </si>
  <si>
    <t>Монтажные работы в текущих ценах после применения индексов</t>
  </si>
  <si>
    <t>Оборудование в текущих ценах после применения индексов</t>
  </si>
  <si>
    <t>Прочие затраты в текущих ценах после применения индексов</t>
  </si>
  <si>
    <t>Строительные работы в текущих ценах по ресурсному расчету</t>
  </si>
  <si>
    <t>Монтажные работы в текущих ценах по ресурсному расчету</t>
  </si>
  <si>
    <t>Оборудование в текущих ценах по ресурсному расчету</t>
  </si>
  <si>
    <t>Прочие затраты в текущих ценах по ресурсному расчету</t>
  </si>
  <si>
    <t>Итого ПЗ по ресурсному расчету</t>
  </si>
  <si>
    <t>Итого ОЗП по ресурсному расчету</t>
  </si>
  <si>
    <t>Итого материалы по ресурсному расчету</t>
  </si>
  <si>
    <t>Итого машины и механизмы по ресурсному расчету</t>
  </si>
  <si>
    <t>Территориальная поправка к ТЕР на ПЗ</t>
  </si>
  <si>
    <t>Территориальная поправка к ТЕР на ОЗП</t>
  </si>
  <si>
    <t>Территориальная поправка к ТЕР на ЭМ</t>
  </si>
  <si>
    <t>Территориальная поправка к ТЕР на ЗПМ</t>
  </si>
  <si>
    <t>Территориальная поправка к ТЕР на МАТ</t>
  </si>
  <si>
    <t>Обоснование поправки к ТЕР</t>
  </si>
  <si>
    <t>Спецификация переменных и констант из программы ГРАНД-СМЕТА</t>
  </si>
  <si>
    <t>Наименование переменной из позиции сметы или акта выполнения</t>
  </si>
  <si>
    <t>Наименование константы по смете или акту выполнения</t>
  </si>
  <si>
    <t xml:space="preserve">ОЗП по позиции на единицу после применения индекса </t>
  </si>
  <si>
    <t>ПЗ по позиции в базисных ценах по выполнению</t>
  </si>
  <si>
    <t>ОЗП по позиции в базисных ценах по выполнению</t>
  </si>
  <si>
    <t>ЭММ по позиции в базисных ценах по выполнению</t>
  </si>
  <si>
    <t>ЗПМ по позиции в базисных ценах по выполнению</t>
  </si>
  <si>
    <t>МАТ по позиции в базисных ценах по выполнению</t>
  </si>
  <si>
    <t>Стоимость оборудования по позиции в базисных ценах по выполнению</t>
  </si>
  <si>
    <t>ТЗ по позиции по выполнению</t>
  </si>
  <si>
    <t>ТЗМ по позиции по выполнению</t>
  </si>
  <si>
    <t>ПЗ по позиции в текущих ценах по выполнению</t>
  </si>
  <si>
    <t>ОЗП по позиции в текущих ценах по выполнению</t>
  </si>
  <si>
    <t>ЭММ по позиции в текущих ценах по выполнению</t>
  </si>
  <si>
    <t>ЗПМ по позиции в текущих ценах по выполнению</t>
  </si>
  <si>
    <t>МАТ по позиции в текущих ценах по выполнению</t>
  </si>
  <si>
    <t>Стоимость оборудования по позиции в текущих ценах по выполнению</t>
  </si>
  <si>
    <t>Наименование столбца структуры итогов</t>
  </si>
  <si>
    <t>Локальный сметный расчет</t>
  </si>
  <si>
    <t>Текстовая часть (итоги)</t>
  </si>
  <si>
    <t>Прямые затраты (итоги)</t>
  </si>
  <si>
    <t>З/п основных рабочих (итоги)</t>
  </si>
  <si>
    <t>Эксплуатация машин (итоги)</t>
  </si>
  <si>
    <t>З/п машинистов (итоги)</t>
  </si>
  <si>
    <t>Материалы (итоги)</t>
  </si>
  <si>
    <t>Трудозатраты основных рабочих (итоги)</t>
  </si>
  <si>
    <t>Трудозатраты машинистов (итоги)</t>
  </si>
  <si>
    <t>Формула расчета физ. объема</t>
  </si>
  <si>
    <t>Норма расхода на единицу</t>
  </si>
  <si>
    <t>Формула расчета стоимости единицы</t>
  </si>
  <si>
    <t>Ресурсный расчет</t>
  </si>
  <si>
    <t>Индексы пересчета и территориальные поправки</t>
  </si>
  <si>
    <t>Акт о приемке выполненных работ</t>
  </si>
  <si>
    <t>Ведомость ресурсов и список потребных ресурсов</t>
  </si>
  <si>
    <t>Номер ресурса п.п.</t>
  </si>
  <si>
    <t>К-т к позиции на прямые затраты</t>
  </si>
  <si>
    <t>К-т к позиции на основную з/п</t>
  </si>
  <si>
    <t>К-т к позиции на эксплуатацию машин</t>
  </si>
  <si>
    <t>К-т к позиции на з/п машинистов</t>
  </si>
  <si>
    <t>К-т к позиции на материалы</t>
  </si>
  <si>
    <t>К-т к позиции на трудозатраты рабочих</t>
  </si>
  <si>
    <t>К-т к позиции на трудозатраты механизаторов</t>
  </si>
  <si>
    <t>Вид работ 2001г. по позиции</t>
  </si>
  <si>
    <t>Нормы НР 2001г. по позиции</t>
  </si>
  <si>
    <t>Нормы СП 2001г. по позиции</t>
  </si>
  <si>
    <t>Вид работ 1984г. по позиции</t>
  </si>
  <si>
    <t>Нормы НР 1984г. по позиции</t>
  </si>
  <si>
    <t>Нормы СП 1984г. по позиции</t>
  </si>
  <si>
    <t>К-ты к НР по позиции при расчете в текущих ценах</t>
  </si>
  <si>
    <t>К-ты к НР по позиции при расчете в базисных ценах</t>
  </si>
  <si>
    <t>Сумма НР по позиции при расчете в текущих ценах (ресурсный расчет)</t>
  </si>
  <si>
    <t>Сумма НР по позиции при расчете в базисных ценах</t>
  </si>
  <si>
    <t>Сумма СП по позиции при расчете в текущих ценах (ресурсный расчет)</t>
  </si>
  <si>
    <t>Сумма СП по позиции при расчете в базисных ценах</t>
  </si>
  <si>
    <t>К-т удорожания по позиции (ресурсный расчет)</t>
  </si>
  <si>
    <t>Индекс пересчета ПЗ по позиции из базисных цен 1984г. в текущие</t>
  </si>
  <si>
    <t>Индекс пересчета ОЗП по позиции из базисных цен 1984г. в текущие</t>
  </si>
  <si>
    <t>Индекс пересчета ЭМ по позиции из базисных цен 1984г. в текущие</t>
  </si>
  <si>
    <t>Индекс пересчета ЗПМ по позиции из базисных цен 1984г. в текущие</t>
  </si>
  <si>
    <t>Индекс по конструктивам (часть 1)</t>
  </si>
  <si>
    <t>Индекс по конструктивам (часть 2)</t>
  </si>
  <si>
    <t>Обоснование индекса по конструктивам</t>
  </si>
  <si>
    <t>Индекс</t>
  </si>
  <si>
    <t>СОГЛАСОВАНО:</t>
  </si>
  <si>
    <t>УТВЕРЖДАЮ:</t>
  </si>
  <si>
    <t>Подрядчик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</si>
  <si>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</si>
  <si>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</si>
  <si>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</si>
  <si>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</si>
  <si>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</si>
  <si>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</si>
  <si>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</si>
  <si>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</si>
  <si>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</si>
  <si>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</si>
  <si>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</si>
  <si>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</si>
  <si>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</si>
  <si>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 xml:space="preserve">       (наименование работ и затрат, наименование объекта)</t>
  </si>
  <si>
    <t>Наименование работ и затрат,                      единица измерения</t>
  </si>
  <si>
    <t>ЛОКАЛЬНЫЙ СМЕТНЫЙ РАСЧЕТ №  02-01-01</t>
  </si>
  <si>
    <t>Основание:  КР-1, КР-2</t>
  </si>
  <si>
    <t>Проверил:____________________________</t>
  </si>
  <si>
    <t xml:space="preserve">                           Раздел 1. Демонтажные работы</t>
  </si>
  <si>
    <t>ФЕРр53-9-1
--------------------
Приказ Минстроя РФ от 30.01.14 №31/пр</t>
  </si>
  <si>
    <t xml:space="preserve">Смена венцов в стенах: из бревен окладных диаметром 240 мм, 100 м венца
НР 77%=90%*0.85 от ФОТ
СП 56%=70%*0.8 от ФОТ
 </t>
  </si>
  <si>
    <t>7686,49
2821,45</t>
  </si>
  <si>
    <t>397,17
12,15</t>
  </si>
  <si>
    <t xml:space="preserve">79.12 Смена венцов в стенах: из бревен окладных диаметром 240(270) мм: ОЗП=16,45; ЭМ=11,2; ЗПМ=16,45; МАТ=3,85
 </t>
  </si>
  <si>
    <t>1243
49</t>
  </si>
  <si>
    <t>322,82
0,9</t>
  </si>
  <si>
    <t>90,39
0,25</t>
  </si>
  <si>
    <t>ФЕР46-04-008-04
--------------------
Приказ Минстроя РФ от 30.01.14 №31/пр</t>
  </si>
  <si>
    <t xml:space="preserve">Разборка покрытий кровель: из волнистых и полуволнистых асбестоцементных листов, 100 м2 покрытия
НР 89%=116%*(0.85*0,9) от ФОТ
СП 48%=70%*(0.8*0,85) от ФОТ
 </t>
  </si>
  <si>
    <t>154,66
124,02</t>
  </si>
  <si>
    <t xml:space="preserve">46.70 Разборка покрытий кровель: ОЗП=16,45; ЭМ=2,99; ЗПМ=16,45
 </t>
  </si>
  <si>
    <t>ФЕРр58-1-1
--------------------
Приказ Минстроя РФ от 30.01.14 №31/пр</t>
  </si>
  <si>
    <t xml:space="preserve">Разборка деревянных элементов конструкций крыш: обрешетки из брусков с прозорами, 100 м2 кровли
НР 74%=87%*0.85 от ФОТ
СП 52%=65%*0.8 от ФОТ
 </t>
  </si>
  <si>
    <t>160,11
120,37</t>
  </si>
  <si>
    <t>39,74
6,21</t>
  </si>
  <si>
    <t xml:space="preserve">84.1 Разборка деревянных элементов конструкций крыш: ОЗП=16,45; ЭМ=12,02; ЗПМ=16,45
 </t>
  </si>
  <si>
    <t>1707
362</t>
  </si>
  <si>
    <t>15,16
0,46</t>
  </si>
  <si>
    <t>54,18
1,64</t>
  </si>
  <si>
    <t>ФЕР10-01-002-01
--------------------
Приказ Минстроя РФ от 30.01.14 №31/пр</t>
  </si>
  <si>
    <t xml:space="preserve">Разборка  стропильной системы, 1 м3 древесины в конструкции
(ПЗ=0,8 (ОЗП=0,8; ЭМ=0,8 к расх.; ЗПМ=0,8; МАТ=0 к расх.; ТЗ=0,8; ТЗМ=0,8))
НР 95%=124%*(0.85*0,9) от ФОТ
СП 43%=63%*(0.8*0,85) от ФОТ
 </t>
  </si>
  <si>
    <t>190,73
160,15</t>
  </si>
  <si>
    <t>30,58
1,62</t>
  </si>
  <si>
    <t xml:space="preserve">10.4. Установка стропил: ОЗП=16,45; ЭМ=10,79; ЗПМ=16,45; МАТ=3,71
 </t>
  </si>
  <si>
    <t>1910
148</t>
  </si>
  <si>
    <t>19,27
0,12</t>
  </si>
  <si>
    <t>111,77
0,7</t>
  </si>
  <si>
    <t>ФЕР10-01-010-01
--------------------
Приказ Минстроя РФ от 30.01.14 №31/пр</t>
  </si>
  <si>
    <t xml:space="preserve">Разборка  подстропильной системы, 1 м3 древесины в конструкции
(МАТ=0 к расх.)
НР 95%=124%*(0.85*0,9) от ФОТ
СП 43%=63%*(0.8*0,85) от ФОТ
 </t>
  </si>
  <si>
    <t>222,06
188,55</t>
  </si>
  <si>
    <t xml:space="preserve">10.18. Установка деревянных элементов каркаса: ОЗП=16,45; ЭМ=11,08; ЗПМ=16,45; МАТ=3,37
 </t>
  </si>
  <si>
    <t>ФЕРр53-1-1
--------------------
Приказ Минстроя РФ от 30.01.14 №31/пр</t>
  </si>
  <si>
    <t xml:space="preserve">Разборка обшивки: неоштукатуренных фронтон, 100 м2 стен
НР 77%=90%*0.85 от ФОТ
СП 56%=70%*0.8 от ФОТ
 </t>
  </si>
  <si>
    <t>143,39
92,99</t>
  </si>
  <si>
    <t>50,4
6,08</t>
  </si>
  <si>
    <t xml:space="preserve">79.1 Разборка деревянных стен: ОЗП=16,45; ЭМ=10,67; ЗПМ=16,45
 </t>
  </si>
  <si>
    <t>64
16</t>
  </si>
  <si>
    <t>12,3
0,45</t>
  </si>
  <si>
    <t>1,57
0,06</t>
  </si>
  <si>
    <t>ФЕРр69-9-1, прим.
--------------------
Приказ Минстроя РФ от 30.01.14 №31/пр</t>
  </si>
  <si>
    <t xml:space="preserve">Демонтаж утеплителя из песка, 100 т мусора
НР 70%=82%*0.85 от ФОТ
СП 40%=50%*0.8 от ФОТ
 </t>
  </si>
  <si>
    <t>0,5392
1,6*33,7/100</t>
  </si>
  <si>
    <t>1553,82
1553,82</t>
  </si>
  <si>
    <t xml:space="preserve">94.16 Очистка помещений от строительного мусора: ОЗП=16,45
 </t>
  </si>
  <si>
    <t>ФЕРр69-15-1
--------------------
Приказ Минстроя РФ от 30.01.14 №31/пр</t>
  </si>
  <si>
    <t xml:space="preserve">Затаривание строительного мусора в мешки, 1 т
НР 70%=82%*0.85 от ФОТ
СП 40%=50%*0.8 от ФОТ
 </t>
  </si>
  <si>
    <t>23,81
7,41</t>
  </si>
  <si>
    <t xml:space="preserve">94.26 Затаривание строительного мусора в мешки: ОЗП=16,45; МАТ=7,38
 </t>
  </si>
  <si>
    <t>ФЕР10-01-039-05
--------------------
Приказ Минстроя России от 12.11.14 №703/пр</t>
  </si>
  <si>
    <t xml:space="preserve">Разборка  люков в перекрытиях, площадь проема до 2 м2, 100 м2 проемов
(ПЗ=0,8 (ОЗП=0,8; ЭМ=0,8 к расх.; ЗПМ=0,8; МАТ=0 к расх.; ТЗ=0,8; ТЗМ=0,8))
НР 95%=124%*(0.85*0,9) от ФОТ
СП 43%=63%*(0.8*0,85) от ФОТ
 </t>
  </si>
  <si>
    <t>1627,62
823,46</t>
  </si>
  <si>
    <t>804,16
104,66</t>
  </si>
  <si>
    <t xml:space="preserve">10.95. Установка люков в перекрытиях: ОЗП=16,45; ЭМ=11,88; ЗПМ=16,45; МАТ=8,17
 </t>
  </si>
  <si>
    <t>154
33</t>
  </si>
  <si>
    <t>97,34
7,75</t>
  </si>
  <si>
    <t>1,56
0,12</t>
  </si>
  <si>
    <t>ФЕРр69-10-1
--------------------
Приказ Минстроя России от 12.11.14 №703/пр</t>
  </si>
  <si>
    <t xml:space="preserve">Очистка вручную поверхности, 100 м2 обработанной поверхности
(МАТ=0 к расх.)
НР 70%=82%*0.85 от ФОТ
СП 40%=50%*0.8 от ФОТ
 </t>
  </si>
  <si>
    <t>23,15
21,41</t>
  </si>
  <si>
    <t xml:space="preserve">94.17 Антисептирование древесины: водными растворами: ОЗП=16,45; ЭМ=11,44; ЗПМ=16,45; МАТ=1,64
 </t>
  </si>
  <si>
    <t>ФЕРр58-2-2
--------------------
Приказ Минстроя РФ от 30.01.14 №31/пр</t>
  </si>
  <si>
    <t xml:space="preserve">Разборка слуховых окон: прямоугольных односкатных, 100 окон
НР 74%=87%*0.85 от ФОТ
СП 52%=65%*0.8 от ФОТ
 </t>
  </si>
  <si>
    <t>2466,21
2455,84</t>
  </si>
  <si>
    <t xml:space="preserve">84.2 Разборка слуховых окон: ОЗП=16,45; ЭМ=4,64; ЗПМ=16,45
 </t>
  </si>
  <si>
    <t>ФССЦпг01-01-01-043
--------------------
Приказ Минстроя России от 12.11.14 №703/пр</t>
  </si>
  <si>
    <t xml:space="preserve">Погрузочные работы при автомобильных перевозках: мусора строительного с погрузкой экскаваторами емкостью ковша до 0,5 м3, 1 т груза
НР 0%=0%*0.85 от ФОТ
СП 0%=0%*0.8 от ФОТ
 </t>
  </si>
  <si>
    <t xml:space="preserve">Мусор строительный, экскаваторами емк,ковша 0,5 м3: погрузка; ЭМ=11,56
 </t>
  </si>
  <si>
    <t>ФССЦпг03-21-01-002
--------------------
Приказ Минстроя РФ от 30.01.14 №31/пр</t>
  </si>
  <si>
    <t xml:space="preserve">Перевозка грузов автомобилями-самосвалами грузоподъемностью 10 т, работающих вне карьера, на расстояние: до 2 км I класс груза, 1 т груза
НР 0%=0%*0.85 от ФОТ
СП 0%=0%*0.8 от ФОТ
 </t>
  </si>
  <si>
    <t xml:space="preserve">Перевозка грузов автомобилями-самосвалами грузоподъемностью 10 т, работающих вне карьера, на расстояние: до 2 км.: I класс груза; ЭМ=9,57
 </t>
  </si>
  <si>
    <t>Итого прямые затраты по разделу в ценах 2001г.</t>
  </si>
  <si>
    <t>1129
37</t>
  </si>
  <si>
    <t>502,53
2,77</t>
  </si>
  <si>
    <t>Итого прямые затраты по разделу с учетом индексов, в текущих ценах</t>
  </si>
  <si>
    <t>11376
608</t>
  </si>
  <si>
    <t>Накладные расходы</t>
  </si>
  <si>
    <t>Сметная прибыль</t>
  </si>
  <si>
    <t>Итоги по разделу 1 Демонтажные работы :</t>
  </si>
  <si>
    <t xml:space="preserve">  Стены</t>
  </si>
  <si>
    <t>91,96
0,31</t>
  </si>
  <si>
    <t xml:space="preserve">  Работы по реконструкции зданий и сооружений (усиление и замена существующих конструкций, разборка и возведение отдельных конструктивных элементов)</t>
  </si>
  <si>
    <t xml:space="preserve">  Крыши, кровли</t>
  </si>
  <si>
    <t>57,27
1,64</t>
  </si>
  <si>
    <t xml:space="preserve">  Деревянные конструкции</t>
  </si>
  <si>
    <t>119,11
0,82</t>
  </si>
  <si>
    <t xml:space="preserve">  Прочие ремонтно-строительные работы</t>
  </si>
  <si>
    <t xml:space="preserve">  Погрузо-разгрузочные работы</t>
  </si>
  <si>
    <t xml:space="preserve">  Перевозка грузов автотранспортом</t>
  </si>
  <si>
    <t xml:space="preserve">  Итого</t>
  </si>
  <si>
    <t xml:space="preserve">    В том числе:</t>
  </si>
  <si>
    <t xml:space="preserve">      Материалы</t>
  </si>
  <si>
    <t xml:space="preserve">      Машины и механизмы</t>
  </si>
  <si>
    <t xml:space="preserve">      ФОТ</t>
  </si>
  <si>
    <t xml:space="preserve">      Накладные расходы</t>
  </si>
  <si>
    <t xml:space="preserve">      Сметная прибыль</t>
  </si>
  <si>
    <t xml:space="preserve">  Итого по разделу 1 Демонтажные работы</t>
  </si>
  <si>
    <t xml:space="preserve">                           Раздел 2. Устройство крыши</t>
  </si>
  <si>
    <t xml:space="preserve">                                   Элементы стропильной, пдстропильной системы</t>
  </si>
  <si>
    <t xml:space="preserve">Установка стропильной системы, 1 м3 древесины в конструкции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95%=124%*(0.85*0,9) от ФОТ
СП 43%=63%*(0.8*0,85) от ФОТ
 </t>
  </si>
  <si>
    <t>2340,26
230,22</t>
  </si>
  <si>
    <t>47,78
2,54</t>
  </si>
  <si>
    <t>4402
362</t>
  </si>
  <si>
    <t>27,7
0,19</t>
  </si>
  <si>
    <t>236,39
1,62</t>
  </si>
  <si>
    <t xml:space="preserve">Установка подстропильной системы, 1 м3 древесины в конструкции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95%=124%*(0.85*0,9) от ФОТ
СП 43%=63%*(0.8*0,85) от ФОТ
 </t>
  </si>
  <si>
    <t>2447,72
216,83</t>
  </si>
  <si>
    <t>ФЕРр58-12-1
--------------------
Приказ Минстроя РФ от 30.01.14 №31/пр</t>
  </si>
  <si>
    <t xml:space="preserve">Устройство обрешетки сплошной из досок, 100 м2
НР 74%=87%*0.85 от ФОТ
СП 52%=65%*0.8 от ФОТ
 </t>
  </si>
  <si>
    <t>2492,19
252,73</t>
  </si>
  <si>
    <t>40,78
5,94</t>
  </si>
  <si>
    <t xml:space="preserve">84.30 Устройство обрешетки сплошной из досок: ОЗП=16,45; ЭМ=10; ЗПМ=16,45; МАТ=5,51
 </t>
  </si>
  <si>
    <t>660
165</t>
  </si>
  <si>
    <t>31,83
0,44</t>
  </si>
  <si>
    <t>51,25
0,71</t>
  </si>
  <si>
    <t>ФЕРр58-12-2
--------------------
Приказ Минстроя РФ от 30.01.14 №31/пр</t>
  </si>
  <si>
    <t xml:space="preserve">Устройство обрешетки с прозорами из досок и брусков под кровлю: из листовой стали, 100 м2
НР 74%=87%*0.85 от ФОТ
СП 52%=65%*0.8 от ФОТ
 </t>
  </si>
  <si>
    <t>1766,82
169,52</t>
  </si>
  <si>
    <t>26,57
4,32</t>
  </si>
  <si>
    <t xml:space="preserve">84.31 Устройство обрешетки с прозорами из досок и брусков под кровлю: из листовой стали: ОЗП=16,45; ЭМ=9,83; ЗПМ=16,45; МАТ=5,25
 </t>
  </si>
  <si>
    <t>619
165</t>
  </si>
  <si>
    <t>21,35
0,32</t>
  </si>
  <si>
    <t>50,29
0,75</t>
  </si>
  <si>
    <t>ФЕР10-01-008-05
--------------------
Приказ Минстроя России от 12.11.14 №703/пр</t>
  </si>
  <si>
    <t xml:space="preserve">Устройство: карнизов, 100 м2 стен, фронтонов (за вычетом проемов) и развернутых поверхностей карнизов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95%=124%*(0.85*0,9) от ФОТ
СП 43%=63%*(0.8*0,85) от ФОТ
 </t>
  </si>
  <si>
    <t>5516,45
1402,76</t>
  </si>
  <si>
    <t xml:space="preserve">10.12. Устройство карнизов: ОЗП=16,45; ЭМ=11,36; ЗПМ=16,45; МАТ=6,51
 </t>
  </si>
  <si>
    <t>ФССЦ-203-0367
--------------------
Приказ Минстроя России от 12.11.14 №703/пр</t>
  </si>
  <si>
    <t xml:space="preserve">Обшивка наружная и внутренняя из древесины тип: 0-1; 0-2; 0-3 толщиной 13 мм, шириной без гребня от 70 до 90 мм, м3
 </t>
  </si>
  <si>
    <t xml:space="preserve">Обшивка наружняя и внутренняя из древесины типа 0-1, 0-2, 0-3 толщиной 13 мм, шириной без гребня от 70 до 90 мм; МАТ=9,396
 </t>
  </si>
  <si>
    <t>ФССЦ-102-0048
--------------------
Приказ Минстроя России от 12.11.14 №703/пр</t>
  </si>
  <si>
    <t xml:space="preserve">Доски обрезные хвойных пород длиной: 4-6,5 м, шириной 75-150, мм толщиной 19-22 мм, II сорта, м3
 </t>
  </si>
  <si>
    <t xml:space="preserve">Доски обрезные хвойных пород длиной: 4-6,5 м, шириной 75-150, мм толщиной 19-22 мм, II сорта; МАТ=3,677
 </t>
  </si>
  <si>
    <t>ФЕР10-01-008-04
--------------------
Приказ Минстроя России от 12.11.14 №703/пр</t>
  </si>
  <si>
    <t xml:space="preserve">Устройство: фронтонов, 100 м2 стен, фронтонов (за вычетом проемов) и развернутых поверхностей карнизов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95%=124%*(0.85*0,9) от ФОТ
СП 43%=63%*(0.8*0,85) от ФОТ
 </t>
  </si>
  <si>
    <t>5445,29
667,05</t>
  </si>
  <si>
    <t xml:space="preserve">10.11. Устройство фронтонов: ОЗП=16,45; ЭМ=11,4; ЗПМ=16,45; МАТ=7,31
 </t>
  </si>
  <si>
    <t>ФЕР10-01-059-01, прим.
--------------------
Приказ Минстроя РФ от 30.01.14 №31/пр</t>
  </si>
  <si>
    <t xml:space="preserve">Установка жалюзийных решеток, 100 шт. изделий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95%=124%*(0.85*0,9) от ФОТ
СП 43%=63%*(0.8*0,85) от ФОТ
 </t>
  </si>
  <si>
    <t>2663,2
693,11</t>
  </si>
  <si>
    <t>336,74
29,2</t>
  </si>
  <si>
    <t xml:space="preserve">10.131 Установка штучных изделий: ОЗП=16,45; ЭМ=10,57; ЗПМ=16,45; МАТ=2,33
 </t>
  </si>
  <si>
    <t>106
16</t>
  </si>
  <si>
    <t>86,42
2,16</t>
  </si>
  <si>
    <t>2,59
0,06</t>
  </si>
  <si>
    <t>ФССЦ-203-0267
--------------------
Приказ Минстроя России от 12.11.14 №703/пр</t>
  </si>
  <si>
    <t xml:space="preserve">Створки фрамужные площадь: 0,4-0,6 м2, м2
 </t>
  </si>
  <si>
    <t xml:space="preserve">Створки фрамужные:  пл. 0.4-0.6 м2; МАТ=6,633
 </t>
  </si>
  <si>
    <t>ФССЦ-101-2001
--------------------
Приказ Минстроя России от 12.11.14 №703/пр</t>
  </si>
  <si>
    <t xml:space="preserve">Шпингалеты дверные размером 230х26 мм, оцинкованные или окрашенные, компл.
 </t>
  </si>
  <si>
    <t xml:space="preserve">Шпингалеты дверные размером 230x26 мм, оцинкованные или окрашенные; МАТ=1,941
 </t>
  </si>
  <si>
    <t>ФССЦ-101-2007
--------------------
Приказ Минстроя России от 12.11.14 №703/пр</t>
  </si>
  <si>
    <t xml:space="preserve">Петли форточные накладные размером 70х55 мм, компл.
 </t>
  </si>
  <si>
    <t xml:space="preserve">Петли форточные накладные размером 70x55 мм; МАТ=2,337
 </t>
  </si>
  <si>
    <t>ФЕР10-01-003-01
--------------------
Приказ Минстроя РФ от 30.01.14 №31/пр</t>
  </si>
  <si>
    <t xml:space="preserve">Устройство слуховых окон, 1 слуховое окно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95%=124%*(0.85*0,9) от ФОТ
СП 43%=63%*(0.8*0,85) от ФОТ
 </t>
  </si>
  <si>
    <t>392,81
65,03</t>
  </si>
  <si>
    <t>27,58
1,86</t>
  </si>
  <si>
    <t xml:space="preserve">10.5. Устройство слуховых окон: ОЗП=16,45; ЭМ=10,98; ЗПМ=16,45; МАТ=5,3
 </t>
  </si>
  <si>
    <t>307
33</t>
  </si>
  <si>
    <t>7,62
0,14</t>
  </si>
  <si>
    <t>ФЕР26-02-018-01
--------------------
Приказ Минстроя РФ от 30.01.14 №31/пр</t>
  </si>
  <si>
    <t xml:space="preserve">Огнебиозащитное покрытие деревянных конструкций составом"Пирилакс" любой модификации при помощи аэрозольно-капельного распыления для обеспечивания: первой группы огнезащитной эффективности по НПБ251, 100 м2 обрабатываемой поверхности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80%=105%*(0.85*0,9) от ФОТ
СП 48%=70%*(0.8*0,85) от ФОТ
 </t>
  </si>
  <si>
    <t>286,46
141,19</t>
  </si>
  <si>
    <t>143,43
2,03</t>
  </si>
  <si>
    <t xml:space="preserve">26.104 Огнебиозащитное покрытие деревянных конструкций составами 'Пирилакс' (любой модификации): ОЗП=16,45; ЭМ=11,16; ЗПМ=16,45; МАТ=19,16
 </t>
  </si>
  <si>
    <t>28748
592</t>
  </si>
  <si>
    <t>14,85
0,18</t>
  </si>
  <si>
    <t>266,71
3,23</t>
  </si>
  <si>
    <t>ФССЦ-113-8072
--------------------
Приказ Минстроя России от 12.11.14 №703/пр</t>
  </si>
  <si>
    <t xml:space="preserve">Антисептик-антипирен «ПИРИЛАКС-ЛЮКС» для древесины  ТССЦ-113-0515-00005  226,68/18,53=12,23, кг
 </t>
  </si>
  <si>
    <t>538,8
1796*0,3</t>
  </si>
  <si>
    <t xml:space="preserve">ТССЦ-113-0515-0005  226/18,53=12,23; МАТ=12,23
 </t>
  </si>
  <si>
    <t>ФЕР15-04-019-05
--------------------
Приказ Минстроя РФ от 30.01.14 №31/пр</t>
  </si>
  <si>
    <t xml:space="preserve">Окраска фасадов акриловыми составами: с лесов вручную с подготовкой поверхности, 100 м2 окрашиваемой поверхности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84%=110%*(0.85*0,9) от ФОТ
СП 37%=55%*(0.8*0,85) от ФОТ
 </t>
  </si>
  <si>
    <t>721,18
147,43</t>
  </si>
  <si>
    <t xml:space="preserve">15.152 Окраска фасадов акриловыми составами: с лесов с подготовкой поверхности: ОЗП=16,45; ЭМ=9,97; ЗПМ=16,45; МАТ=5,28
 </t>
  </si>
  <si>
    <t xml:space="preserve">                                   Элементы кровли</t>
  </si>
  <si>
    <t>ФЕРр58-13-1
--------------------
Приказ Минстроя РФ от 30.01.14 №31/пр</t>
  </si>
  <si>
    <t xml:space="preserve">Устройство покрытия из рулонных материалов: насухо без промазки кромок, 100 м2 кровли
НР 74%=87%*0.85 от ФОТ
СП 52%=65%*0.8 от ФОТ
 </t>
  </si>
  <si>
    <t>924,81
36,25</t>
  </si>
  <si>
    <t xml:space="preserve">84.34 Устройство покрытия из рулонных материалов: насухо без промазки кромок: ОЗП=16,45; ЭМ=11,42; ЗПМ=16,45; МАТ=5
 </t>
  </si>
  <si>
    <t>ФССЦ-101-0852
--------------------
Приказ Минстроя России от 12.11.14 №703/пр</t>
  </si>
  <si>
    <t xml:space="preserve">Рубероид кровельный с крупнозернистой посыпкой марки: РКК-350б, м2
 </t>
  </si>
  <si>
    <t xml:space="preserve">Рубероид кровельный с крупнозернистой посыпкой марки: РКК-350б; МАТ=4,999
 </t>
  </si>
  <si>
    <t>ФССЦ-101-7200
--------------------
Приказ Минстроя России от 12.11.14 №703/пр</t>
  </si>
  <si>
    <t xml:space="preserve">ИЗОСПАН: D, 10 м2
 </t>
  </si>
  <si>
    <t>18,52
185,2/10</t>
  </si>
  <si>
    <t xml:space="preserve">ТССЦ-104-9221-900004  18,33/3,75=4,89; МАТ=4,89
 </t>
  </si>
  <si>
    <t>ФЕР12-01-023-03, прим.
--------------------
Приказ Минстроя РФ от 30.01.14 №31/пр</t>
  </si>
  <si>
    <t xml:space="preserve">Устройство кровли из профлиста по готовым прогонам: сложная кровля, 100 м2 кровли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96%=126%*(0.85*0,9) от ФОТ
СП 44%=65%*(0.8*0,85) от ФОТ
 </t>
  </si>
  <si>
    <t>11791,33
469,28</t>
  </si>
  <si>
    <t>144,05
13,34</t>
  </si>
  <si>
    <t xml:space="preserve">12.51. Устройство кровли из металлочерепицы (с отделочным покрытием): ОЗП=16,45; ЭМ=11,1; ЗПМ=16,45; МАТ=3,6
 </t>
  </si>
  <si>
    <t>6016
823</t>
  </si>
  <si>
    <t>54,31
0,99</t>
  </si>
  <si>
    <t>204,37
3,73</t>
  </si>
  <si>
    <t>ФССЦ-101-4136
--------------------
Приказ Минстроя России от 12.11.14 №703/пр</t>
  </si>
  <si>
    <t xml:space="preserve">Металлочерепица «Монтеррей», м2
 </t>
  </si>
  <si>
    <t xml:space="preserve">Металлочерепица «Монтеррей»; МАТ=3,818
 </t>
  </si>
  <si>
    <t>ФССЦ-101-1998
--------------------
Приказ Минстроя России от 12.11.14 №703/пр</t>
  </si>
  <si>
    <t xml:space="preserve">Добавить до проектного объема:Прокладки уплотнительные: пенополиуретановые открытопористые для металлочерепицы (1800*50*50 мм), м
 </t>
  </si>
  <si>
    <t xml:space="preserve">Прокладки уплотнительные:пенополиуретановые открытопористые для металлочерепицы (1800*50*50 мм); МАТ=1,637
 </t>
  </si>
  <si>
    <t>ФССЦ-101-3845
--------------------
Приказ Минстроя России от 12.11.14 №703/пр</t>
  </si>
  <si>
    <t xml:space="preserve">Профилированный лист оцинкованный: НС44-1000-0,7, т
 </t>
  </si>
  <si>
    <t>3,279455
8,3*376,3*1,05/1000</t>
  </si>
  <si>
    <t xml:space="preserve">Профилированный лист оцинкованный: НС44-1000-0,7; МАТ=4,286
 </t>
  </si>
  <si>
    <t>ФССЦ-101-2405
--------------------
Приказ Минстроя России от 12.11.14 №703/пр</t>
  </si>
  <si>
    <t xml:space="preserve">Начальная планка из оцинкованной стали с полимерным покрытием, п.м
 </t>
  </si>
  <si>
    <t xml:space="preserve">Начальная планка из оцинкованной стали с полимерным покрытием; МАТ=1,511
 </t>
  </si>
  <si>
    <t>ФЕР09-05-006-01
--------------------
Приказ Минстроя РФ от 30.01.14 №31/пр</t>
  </si>
  <si>
    <t xml:space="preserve">Резка стального профилированного настила, 1 м реза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73%=95%*(0.85*0,9) от ФОТ
СП 58%=85%*(0.8*0,85) от ФОТ
 </t>
  </si>
  <si>
    <t>4,2
3,51</t>
  </si>
  <si>
    <t xml:space="preserve">9.74 Резка стального профилированного настила: ОЗП=16,45; ЭМ=2,22; ЗПМ=16,45
 </t>
  </si>
  <si>
    <t>ФЕР12-01-010-01
--------------------
Приказ Минстроя РФ от 30.01.14 №31/пр</t>
  </si>
  <si>
    <t xml:space="preserve">Устройство капельника, 100 м2 покрытия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96%=126%*(0.85*0,9) от ФОТ
СП 44%=65%*(0.8*0,85) от ФОТ
 </t>
  </si>
  <si>
    <t>10025,83
1106,02</t>
  </si>
  <si>
    <t>29,23
3,38</t>
  </si>
  <si>
    <t xml:space="preserve">12.27. Устройство мелких покрытий (брандмауэры, парапеты, свесы и т.п.) из листовой оцинкованной стали: ОЗП=16,45; ЭМ=11,87; ЗПМ=16,45; МАТ=3,66
 </t>
  </si>
  <si>
    <t>154
16</t>
  </si>
  <si>
    <t>129,66
0,25</t>
  </si>
  <si>
    <t>56,79
0,11</t>
  </si>
  <si>
    <t>ФССЦ-101-1875
--------------------
Приказ Минстроя России от 12.11.14 №703/пр</t>
  </si>
  <si>
    <t xml:space="preserve">Сталь листовая оцинкованная толщиной листа: 0,7 мм, т
 </t>
  </si>
  <si>
    <t xml:space="preserve">Сталь листовая оцинкованная толщиной листа:0,7 мм; МАТ=3,663
 </t>
  </si>
  <si>
    <t>ФССЦ-101-1706
--------------------
Приказ Минстроя России от 12.11.14 №703/пр</t>
  </si>
  <si>
    <t xml:space="preserve">Сталь листовая оцинкованная толщиной листа: 0,5 мм (ендовы, коньки, по скату,фартук), т
 </t>
  </si>
  <si>
    <t>0,330441
(43,8+7,6+24,8)*4,13*1,05/1000</t>
  </si>
  <si>
    <t xml:space="preserve">Сталь оцинкованная листовая толщиной листа 0,5 мм; МАТ=3,707
 </t>
  </si>
  <si>
    <t>ФЕР10-01-044-12, применит.
--------------------
Приказ Минстроя РФ от 30.01.14 №31/пр</t>
  </si>
  <si>
    <t xml:space="preserve">Обивка слуховых окон оцинкованной кровельной сталью, 100 м2 проемов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95%=124%*(0.85*0,9) от ФОТ
СП 43%=63%*(0.8*0,85) от ФОТ
 </t>
  </si>
  <si>
    <t>8845,62
749,66</t>
  </si>
  <si>
    <t>21,79
1,19</t>
  </si>
  <si>
    <t xml:space="preserve">10.116 Обивка дверей оцинкованной кровельной сталью: по дереву: ОЗП=16,45; ЭМ=11,09; ЗПМ=16,45; МАТ=3,71
 </t>
  </si>
  <si>
    <t>91,76
0,09</t>
  </si>
  <si>
    <t>6,15
0,01</t>
  </si>
  <si>
    <t>ФЕР09-06-001-02
--------------------
Приказ Минстроя РФ от 30.01.14 №31/пр</t>
  </si>
  <si>
    <t>на  Капитальный ремонт крыши</t>
  </si>
  <si>
    <t xml:space="preserve">Монтаж переходного мостика, 1 т конструкций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73%=95%*(0.85*0,9) от ФОТ
СП 58%=85%*(0.8*0,85) от ФОТ
 </t>
  </si>
  <si>
    <t>746,35
498,23</t>
  </si>
  <si>
    <t>166,15
2,03</t>
  </si>
  <si>
    <t xml:space="preserve">9.75 Монтаж дверей, люков, подвесных путей из полосовой стали и труб; лотков решеток, стеллажей из стали различного профиля: ОЗП=16,45; ЭМ=8,39; ЗПМ=16,45; МАТ=5,35
 </t>
  </si>
  <si>
    <t>58,41
0,15</t>
  </si>
  <si>
    <t>ФССЦ-201-0599
--------------------
Приказ Минстроя России от 12.11.14 №703/пр</t>
  </si>
  <si>
    <t xml:space="preserve">Площадки просадочные, мостики, кронштейны, маршевые лестницы, пожарные щиты переходных площадок, ограждений, т
 </t>
  </si>
  <si>
    <t xml:space="preserve">Площадки просадочные, мостики, кронштейны, маршевые лестницы, пожарные щиты переходных площадок, ограждений; МАТ=5,746
 </t>
  </si>
  <si>
    <t>ФЕР12-01-012-01
--------------------
Приказ Минстроя РФ от 30.01.14 №31/пр</t>
  </si>
  <si>
    <t xml:space="preserve">Монтаж страховочного троса, 100 м ограждения
(МДС35-IV п.4.7.При ремонте и реконструкции зданий и сооружений работы, аналогичные технологическим процессам в новом строительстве ОЗП=1,15; ЭМ=1,25 к расх.; ЗПМ=1,25; ТЗ=1,15; ТЗМ=1,25)
НР 96%=126%*(0.85*0,9) от ФОТ
СП 44%=65%*(0.8*0,85) от ФОТ
 </t>
  </si>
  <si>
    <t>3170,11
67,97</t>
  </si>
  <si>
    <t>69,23
4,9</t>
  </si>
  <si>
    <t xml:space="preserve">Составил:____________________________ 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</si>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</sst>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\ yy"/>
    <numFmt numFmtId="169" formatCode="mmmm\ yy"/>
    <numFmt numFmtId="170" formatCode="0000"/>
    <numFmt numFmtId="171" formatCode="mmmm\ yyyy"/>
    <numFmt numFmtId="172" formatCode="0.0"/>
    <numFmt numFmtId="173" formatCode="0.000"/>
    <numFmt numFmtId="174" formatCode="0.00000"/>
    <numFmt numFmtId="175" formatCode="0.0000"/>
    <numFmt numFmtId="176" formatCode="[$-FC19]d\ mmmm\ yyyy\ &quot;г.&quot;"/>
  </numFmts>
  <fonts count="54">
    <font>
      <sz val="10"/>
      <name val="Arial Cyr"/>
      <family val="0"/>
    </font>
    <font>
      <b/>
      <sz val="10"/>
      <name val="Arial Cyr"/>
      <family val="0"/>
    </font>
    <font>
      <sz val="10"/>
      <name val="Arial Unicode MS"/>
      <family val="2"/>
    </font>
    <font>
      <u val="single"/>
      <sz val="10"/>
      <color indexed="12"/>
      <name val="Arial Cyr"/>
      <family val="0"/>
    </font>
    <font>
      <b/>
      <i/>
      <sz val="10"/>
      <name val="Arial Cyr"/>
      <family val="0"/>
    </font>
    <font>
      <b/>
      <sz val="10"/>
      <color indexed="10"/>
      <name val="Arial Cyr"/>
      <family val="0"/>
    </font>
    <font>
      <sz val="10"/>
      <name val="Times New Roman"/>
      <family val="1"/>
    </font>
    <font>
      <b/>
      <sz val="12"/>
      <name val="Arial Cyr"/>
      <family val="0"/>
    </font>
    <font>
      <sz val="10"/>
      <color indexed="12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i/>
      <u val="single"/>
      <sz val="10"/>
      <name val="Arial Cyr"/>
      <family val="0"/>
    </font>
    <font>
      <i/>
      <sz val="10"/>
      <name val="Arial Cyr"/>
      <family val="0"/>
    </font>
    <font>
      <sz val="9"/>
      <name val="Times New Roman"/>
      <family val="1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ahoma"/>
      <family val="2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6" fillId="0" borderId="1">
      <alignment horizontal="center"/>
      <protection/>
    </xf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2" applyNumberFormat="0" applyAlignment="0" applyProtection="0"/>
    <xf numFmtId="0" fontId="6" fillId="0" borderId="1">
      <alignment horizontal="center"/>
      <protection/>
    </xf>
    <xf numFmtId="0" fontId="38" fillId="26" borderId="3" applyNumberFormat="0" applyAlignment="0" applyProtection="0"/>
    <xf numFmtId="0" fontId="39" fillId="26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6" fillId="0" borderId="0">
      <alignment horizontal="right" vertical="top" wrapText="1"/>
      <protection/>
    </xf>
    <xf numFmtId="0" fontId="44" fillId="27" borderId="8" applyNumberFormat="0" applyAlignment="0" applyProtection="0"/>
    <xf numFmtId="0" fontId="6" fillId="0" borderId="1">
      <alignment horizontal="center" wrapText="1"/>
      <protection/>
    </xf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6" fillId="0" borderId="1">
      <alignment horizontal="center"/>
      <protection/>
    </xf>
    <xf numFmtId="0" fontId="1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6" fillId="0" borderId="1">
      <alignment horizontal="center"/>
      <protection/>
    </xf>
    <xf numFmtId="0" fontId="6" fillId="0" borderId="1">
      <alignment horizontal="center"/>
      <protection/>
    </xf>
    <xf numFmtId="0" fontId="49" fillId="0" borderId="10" applyNumberFormat="0" applyFill="0" applyAlignment="0" applyProtection="0"/>
    <xf numFmtId="0" fontId="6" fillId="0" borderId="0">
      <alignment horizontal="center" vertical="top" wrapText="1"/>
      <protection/>
    </xf>
    <xf numFmtId="0" fontId="50" fillId="0" borderId="0" applyNumberFormat="0" applyFill="0" applyBorder="0" applyAlignment="0" applyProtection="0"/>
    <xf numFmtId="0" fontId="6" fillId="0" borderId="0" applyProtection="0">
      <alignment horizontal="right" indent="1"/>
    </xf>
    <xf numFmtId="0" fontId="6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 horizontal="left" vertical="top"/>
      <protection/>
    </xf>
    <xf numFmtId="0" fontId="51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44" applyAlignment="1" applyProtection="1">
      <alignment/>
      <protection/>
    </xf>
    <xf numFmtId="0" fontId="0" fillId="0" borderId="0" xfId="0" applyAlignment="1">
      <alignment horizontal="left" inden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Alignment="1">
      <alignment horizontal="center" wrapText="1"/>
    </xf>
    <xf numFmtId="49" fontId="1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0" fontId="6" fillId="0" borderId="0" xfId="72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 wrapText="1"/>
    </xf>
    <xf numFmtId="0" fontId="11" fillId="0" borderId="16" xfId="0" applyFont="1" applyBorder="1" applyAlignment="1">
      <alignment wrapText="1"/>
    </xf>
    <xf numFmtId="49" fontId="1" fillId="0" borderId="17" xfId="0" applyNumberFormat="1" applyFont="1" applyBorder="1" applyAlignment="1">
      <alignment wrapText="1"/>
    </xf>
    <xf numFmtId="0" fontId="12" fillId="0" borderId="16" xfId="0" applyFont="1" applyBorder="1" applyAlignment="1">
      <alignment wrapText="1"/>
    </xf>
    <xf numFmtId="49" fontId="0" fillId="0" borderId="17" xfId="0" applyNumberFormat="1" applyFont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wrapText="1"/>
    </xf>
    <xf numFmtId="49" fontId="0" fillId="0" borderId="17" xfId="0" applyNumberFormat="1" applyBorder="1" applyAlignment="1">
      <alignment wrapText="1"/>
    </xf>
    <xf numFmtId="0" fontId="8" fillId="0" borderId="16" xfId="0" applyFont="1" applyBorder="1" applyAlignment="1">
      <alignment wrapText="1"/>
    </xf>
    <xf numFmtId="0" fontId="6" fillId="0" borderId="15" xfId="72" applyBorder="1" applyAlignment="1">
      <alignment horizontal="center" vertical="top" wrapText="1"/>
      <protection/>
    </xf>
    <xf numFmtId="49" fontId="0" fillId="0" borderId="16" xfId="0" applyNumberFormat="1" applyBorder="1" applyAlignment="1">
      <alignment wrapText="1"/>
    </xf>
    <xf numFmtId="0" fontId="0" fillId="0" borderId="16" xfId="0" applyFont="1" applyBorder="1" applyAlignment="1">
      <alignment/>
    </xf>
    <xf numFmtId="49" fontId="11" fillId="0" borderId="16" xfId="0" applyNumberFormat="1" applyFont="1" applyBorder="1" applyAlignment="1">
      <alignment wrapText="1"/>
    </xf>
    <xf numFmtId="0" fontId="6" fillId="0" borderId="18" xfId="72" applyBorder="1" applyAlignment="1">
      <alignment horizontal="center" vertical="top" wrapText="1"/>
      <protection/>
    </xf>
    <xf numFmtId="49" fontId="0" fillId="0" borderId="18" xfId="0" applyNumberFormat="1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 horizont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right" vertical="top" wrapText="1"/>
    </xf>
    <xf numFmtId="0" fontId="13" fillId="0" borderId="0" xfId="0" applyFont="1" applyAlignment="1">
      <alignment horizontal="center"/>
    </xf>
    <xf numFmtId="0" fontId="15" fillId="0" borderId="0" xfId="0" applyFont="1" applyAlignment="1">
      <alignment/>
    </xf>
    <xf numFmtId="0" fontId="13" fillId="0" borderId="0" xfId="54" applyFont="1" applyBorder="1" applyAlignment="1">
      <alignment horizontal="center" wrapText="1"/>
      <protection/>
    </xf>
    <xf numFmtId="0" fontId="13" fillId="0" borderId="0" xfId="0" applyFont="1" applyAlignment="1">
      <alignment horizontal="center" vertical="top"/>
    </xf>
    <xf numFmtId="0" fontId="13" fillId="0" borderId="0" xfId="68" applyFont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68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 applyAlignment="1">
      <alignment horizontal="left" vertical="top"/>
    </xf>
    <xf numFmtId="0" fontId="16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5" fillId="0" borderId="0" xfId="68" applyFont="1" applyAlignment="1">
      <alignment horizontal="center"/>
    </xf>
    <xf numFmtId="0" fontId="13" fillId="0" borderId="0" xfId="0" applyFont="1" applyAlignment="1">
      <alignment horizontal="right"/>
    </xf>
    <xf numFmtId="0" fontId="13" fillId="0" borderId="20" xfId="68" applyFont="1" applyBorder="1" applyAlignment="1">
      <alignment horizontal="left"/>
    </xf>
    <xf numFmtId="0" fontId="13" fillId="0" borderId="20" xfId="0" applyFont="1" applyBorder="1" applyAlignment="1">
      <alignment horizontal="center" vertical="top"/>
    </xf>
    <xf numFmtId="0" fontId="13" fillId="0" borderId="0" xfId="0" applyFont="1" applyBorder="1" applyAlignment="1">
      <alignment horizontal="left"/>
    </xf>
    <xf numFmtId="0" fontId="16" fillId="0" borderId="0" xfId="0" applyFont="1" applyAlignment="1">
      <alignment horizontal="center" vertical="top"/>
    </xf>
    <xf numFmtId="0" fontId="13" fillId="0" borderId="0" xfId="68" applyFont="1" applyAlignment="1" quotePrefix="1">
      <alignment horizontal="left"/>
    </xf>
    <xf numFmtId="0" fontId="13" fillId="0" borderId="0" xfId="69" applyFont="1" applyAlignment="1">
      <alignment horizontal="left"/>
      <protection/>
    </xf>
    <xf numFmtId="0" fontId="13" fillId="0" borderId="0" xfId="0" applyFont="1" applyAlignment="1">
      <alignment horizontal="right" vertical="top"/>
    </xf>
    <xf numFmtId="0" fontId="13" fillId="0" borderId="20" xfId="0" applyFont="1" applyBorder="1" applyAlignment="1">
      <alignment horizontal="right" vertical="top"/>
    </xf>
    <xf numFmtId="0" fontId="13" fillId="0" borderId="0" xfId="0" applyFont="1" applyBorder="1" applyAlignment="1">
      <alignment horizontal="right" vertical="top"/>
    </xf>
    <xf numFmtId="0" fontId="13" fillId="0" borderId="0" xfId="0" applyFont="1" applyBorder="1" applyAlignment="1" quotePrefix="1">
      <alignment horizontal="right" vertical="top"/>
    </xf>
    <xf numFmtId="0" fontId="13" fillId="0" borderId="0" xfId="0" applyFont="1" applyFill="1" applyBorder="1" applyAlignment="1" quotePrefix="1">
      <alignment horizontal="left" vertical="top"/>
    </xf>
    <xf numFmtId="0" fontId="13" fillId="0" borderId="0" xfId="0" applyFont="1" applyBorder="1" applyAlignment="1">
      <alignment horizontal="right" vertical="top" wrapText="1"/>
    </xf>
    <xf numFmtId="0" fontId="13" fillId="0" borderId="0" xfId="0" applyFont="1" applyBorder="1" applyAlignment="1" quotePrefix="1">
      <alignment horizontal="left" vertical="top"/>
    </xf>
    <xf numFmtId="0" fontId="13" fillId="0" borderId="1" xfId="0" applyFont="1" applyBorder="1" applyAlignment="1" quotePrefix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54" applyFont="1" applyBorder="1" applyAlignment="1">
      <alignment horizontal="center" wrapText="1"/>
      <protection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righ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NumberFormat="1" applyFont="1" applyBorder="1" applyAlignment="1">
      <alignment horizontal="right" vertical="top" wrapText="1"/>
    </xf>
    <xf numFmtId="0" fontId="13" fillId="0" borderId="1" xfId="52" applyFont="1" applyBorder="1" applyAlignment="1">
      <alignment horizontal="right" vertical="top" wrapText="1"/>
      <protection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NumberFormat="1" applyFont="1" applyBorder="1" applyAlignment="1">
      <alignment horizontal="right" vertical="top" wrapText="1"/>
    </xf>
    <xf numFmtId="0" fontId="13" fillId="0" borderId="0" xfId="72" applyFont="1" applyAlignment="1">
      <alignment horizontal="left" vertical="top"/>
      <protection/>
    </xf>
    <xf numFmtId="0" fontId="15" fillId="0" borderId="1" xfId="52" applyFont="1" applyBorder="1" applyAlignment="1">
      <alignment horizontal="left" vertical="top" wrapText="1"/>
      <protection/>
    </xf>
    <xf numFmtId="0" fontId="15" fillId="0" borderId="1" xfId="0" applyFont="1" applyBorder="1" applyAlignment="1">
      <alignment horizontal="left" vertical="top" wrapText="1"/>
    </xf>
    <xf numFmtId="0" fontId="13" fillId="0" borderId="1" xfId="52" applyFont="1" applyBorder="1" applyAlignment="1">
      <alignment horizontal="left" vertical="top" wrapText="1"/>
      <protection/>
    </xf>
    <xf numFmtId="0" fontId="13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3" fillId="0" borderId="0" xfId="68" applyFont="1" applyAlignment="1">
      <alignment horizontal="left"/>
    </xf>
    <xf numFmtId="0" fontId="13" fillId="0" borderId="20" xfId="68" applyFont="1" applyBorder="1">
      <alignment horizontal="right" indent="1"/>
    </xf>
    <xf numFmtId="0" fontId="13" fillId="0" borderId="21" xfId="68" applyFont="1" applyBorder="1">
      <alignment horizontal="right" indent="1"/>
    </xf>
    <xf numFmtId="0" fontId="13" fillId="0" borderId="22" xfId="0" applyFont="1" applyBorder="1" applyAlignment="1" quotePrefix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23" xfId="0" applyFont="1" applyBorder="1" applyAlignment="1" quotePrefix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6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26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2" fillId="0" borderId="0" xfId="0" applyFont="1" applyAlignment="1">
      <alignment horizontal="left" vertical="top" wrapText="1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т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едРесурсов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Итоги" xfId="52"/>
    <cellStyle name="Контрольная ячейка" xfId="53"/>
    <cellStyle name="ЛокСмета" xfId="54"/>
    <cellStyle name="Название" xfId="55"/>
    <cellStyle name="Нейтральный" xfId="56"/>
    <cellStyle name="ОбСмет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РесСмета" xfId="63"/>
    <cellStyle name="СводРасч" xfId="64"/>
    <cellStyle name="Связанная ячейка" xfId="65"/>
    <cellStyle name="Список ресурсов" xfId="66"/>
    <cellStyle name="Текст предупреждения" xfId="67"/>
    <cellStyle name="Титул" xfId="68"/>
    <cellStyle name="Титул_Лок.См.Расч.Баз.-Инд.Методом" xfId="69"/>
    <cellStyle name="Comma" xfId="70"/>
    <cellStyle name="Comma [0]" xfId="71"/>
    <cellStyle name="Хвост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279</xdr:row>
      <xdr:rowOff>0</xdr:rowOff>
    </xdr:from>
    <xdr:ext cx="342900" cy="304800"/>
    <xdr:sp>
      <xdr:nvSpPr>
        <xdr:cNvPr id="1" name="AutoShape 2" descr="Выделение примера в справке."/>
        <xdr:cNvSpPr>
          <a:spLocks noChangeAspect="1"/>
        </xdr:cNvSpPr>
      </xdr:nvSpPr>
      <xdr:spPr>
        <a:xfrm>
          <a:off x="15430500" y="4609147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300</xdr:row>
      <xdr:rowOff>0</xdr:rowOff>
    </xdr:from>
    <xdr:ext cx="342900" cy="333375"/>
    <xdr:sp>
      <xdr:nvSpPr>
        <xdr:cNvPr id="2" name="AutoShape 3" descr="Токио—Сибуя"/>
        <xdr:cNvSpPr>
          <a:spLocks noChangeAspect="1"/>
        </xdr:cNvSpPr>
      </xdr:nvSpPr>
      <xdr:spPr>
        <a:xfrm>
          <a:off x="15430500" y="4949190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300</xdr:row>
      <xdr:rowOff>0</xdr:rowOff>
    </xdr:from>
    <xdr:ext cx="342900" cy="333375"/>
    <xdr:sp>
      <xdr:nvSpPr>
        <xdr:cNvPr id="3" name="AutoShape 4" descr="Токио—Сибуя"/>
        <xdr:cNvSpPr>
          <a:spLocks noChangeAspect="1"/>
        </xdr:cNvSpPr>
      </xdr:nvSpPr>
      <xdr:spPr>
        <a:xfrm>
          <a:off x="15782925" y="4949190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19050</xdr:colOff>
      <xdr:row>300</xdr:row>
      <xdr:rowOff>0</xdr:rowOff>
    </xdr:from>
    <xdr:ext cx="342900" cy="333375"/>
    <xdr:sp>
      <xdr:nvSpPr>
        <xdr:cNvPr id="4" name="AutoShape 5" descr="Токио—Сибуя"/>
        <xdr:cNvSpPr>
          <a:spLocks noChangeAspect="1"/>
        </xdr:cNvSpPr>
      </xdr:nvSpPr>
      <xdr:spPr>
        <a:xfrm>
          <a:off x="16135350" y="49491900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303</xdr:row>
      <xdr:rowOff>0</xdr:rowOff>
    </xdr:from>
    <xdr:ext cx="342900" cy="333375"/>
    <xdr:sp>
      <xdr:nvSpPr>
        <xdr:cNvPr id="5" name="AutoShape 6" descr="Токио—Сибуя"/>
        <xdr:cNvSpPr>
          <a:spLocks noChangeAspect="1"/>
        </xdr:cNvSpPr>
      </xdr:nvSpPr>
      <xdr:spPr>
        <a:xfrm>
          <a:off x="15430500" y="500348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352425</xdr:colOff>
      <xdr:row>303</xdr:row>
      <xdr:rowOff>0</xdr:rowOff>
    </xdr:from>
    <xdr:ext cx="342900" cy="333375"/>
    <xdr:sp>
      <xdr:nvSpPr>
        <xdr:cNvPr id="6" name="AutoShape 7" descr="Токио—Сибуя"/>
        <xdr:cNvSpPr>
          <a:spLocks noChangeAspect="1"/>
        </xdr:cNvSpPr>
      </xdr:nvSpPr>
      <xdr:spPr>
        <a:xfrm>
          <a:off x="15782925" y="500348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19050</xdr:colOff>
      <xdr:row>303</xdr:row>
      <xdr:rowOff>0</xdr:rowOff>
    </xdr:from>
    <xdr:ext cx="342900" cy="333375"/>
    <xdr:sp>
      <xdr:nvSpPr>
        <xdr:cNvPr id="7" name="AutoShape 8" descr="Токио—Сибуя"/>
        <xdr:cNvSpPr>
          <a:spLocks noChangeAspect="1"/>
        </xdr:cNvSpPr>
      </xdr:nvSpPr>
      <xdr:spPr>
        <a:xfrm>
          <a:off x="16135350" y="50034825"/>
          <a:ext cx="342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00"/>
  <sheetViews>
    <sheetView showGridLines="0" tabSelected="1" zoomScale="104" zoomScaleNormal="104" zoomScalePageLayoutView="0" workbookViewId="0" topLeftCell="A172">
      <selection activeCell="S21" sqref="S21"/>
    </sheetView>
  </sheetViews>
  <sheetFormatPr defaultColWidth="9.00390625" defaultRowHeight="12.75"/>
  <cols>
    <col min="1" max="1" width="3.375" style="47" customWidth="1"/>
    <col min="2" max="2" width="16.375" style="47" customWidth="1"/>
    <col min="3" max="3" width="30.875" style="47" customWidth="1"/>
    <col min="4" max="4" width="6.875" style="47" customWidth="1"/>
    <col min="5" max="5" width="10.625" style="48" customWidth="1"/>
    <col min="6" max="6" width="10.375" style="48" customWidth="1"/>
    <col min="7" max="7" width="9.875" style="48" customWidth="1"/>
    <col min="8" max="8" width="20.25390625" style="48" customWidth="1"/>
    <col min="9" max="9" width="8.375" style="48" customWidth="1"/>
    <col min="10" max="10" width="8.125" style="48" customWidth="1"/>
    <col min="11" max="11" width="10.125" style="48" customWidth="1"/>
    <col min="12" max="12" width="9.875" style="48" customWidth="1"/>
    <col min="13" max="13" width="7.375" style="48" customWidth="1"/>
    <col min="14" max="14" width="6.875" style="46" customWidth="1"/>
    <col min="15" max="15" width="9.125" style="46" customWidth="1"/>
    <col min="16" max="16" width="19.75390625" style="46" customWidth="1"/>
    <col min="17" max="16384" width="9.125" style="46" customWidth="1"/>
  </cols>
  <sheetData>
    <row r="1" spans="1:13" s="49" customFormat="1" ht="12">
      <c r="A1" s="52"/>
      <c r="B1" s="53"/>
      <c r="C1" s="52"/>
      <c r="E1" s="54"/>
      <c r="F1" s="55" t="s">
        <v>161</v>
      </c>
      <c r="G1" s="54"/>
      <c r="H1" s="56"/>
      <c r="I1" s="52"/>
      <c r="J1" s="52"/>
      <c r="K1" s="52"/>
      <c r="L1" s="52"/>
      <c r="M1" s="52"/>
    </row>
    <row r="2" spans="1:13" s="49" customFormat="1" ht="12">
      <c r="A2" s="57" t="s">
        <v>442</v>
      </c>
      <c r="B2" s="53"/>
      <c r="D2" s="56"/>
      <c r="F2" s="58" t="s">
        <v>227</v>
      </c>
      <c r="G2" s="58"/>
      <c r="I2" s="59"/>
      <c r="J2" s="57"/>
      <c r="K2" s="57" t="s">
        <v>443</v>
      </c>
      <c r="L2" s="57"/>
      <c r="M2" s="52"/>
    </row>
    <row r="3" spans="1:13" s="49" customFormat="1" ht="12">
      <c r="A3" s="57" t="s">
        <v>444</v>
      </c>
      <c r="E3" s="52"/>
      <c r="F3" s="52"/>
      <c r="G3" s="52"/>
      <c r="H3" s="52"/>
      <c r="I3" s="52"/>
      <c r="J3" s="57"/>
      <c r="K3" s="57" t="s">
        <v>151</v>
      </c>
      <c r="L3" s="57"/>
      <c r="M3" s="52"/>
    </row>
    <row r="4" spans="1:13" s="49" customFormat="1" ht="12">
      <c r="A4" s="52"/>
      <c r="B4" s="52"/>
      <c r="C4" s="52"/>
      <c r="F4" s="60" t="s">
        <v>460</v>
      </c>
      <c r="G4" s="52"/>
      <c r="I4" s="52"/>
      <c r="J4" s="52"/>
      <c r="K4" s="52"/>
      <c r="L4" s="52"/>
      <c r="M4" s="52"/>
    </row>
    <row r="5" spans="1:13" s="49" customFormat="1" ht="12">
      <c r="A5" s="52"/>
      <c r="B5" s="52"/>
      <c r="C5" s="52"/>
      <c r="F5" s="52" t="s">
        <v>228</v>
      </c>
      <c r="G5" s="52"/>
      <c r="I5" s="52"/>
      <c r="J5" s="52"/>
      <c r="K5" s="52"/>
      <c r="L5" s="52"/>
      <c r="M5" s="52"/>
    </row>
    <row r="6" spans="1:13" s="49" customFormat="1" ht="12">
      <c r="A6" s="52"/>
      <c r="B6" s="52"/>
      <c r="C6" s="52"/>
      <c r="E6" s="52"/>
      <c r="F6" s="52"/>
      <c r="G6" s="52"/>
      <c r="H6" s="52"/>
      <c r="I6" s="52"/>
      <c r="J6" s="52"/>
      <c r="K6" s="52"/>
      <c r="L6" s="52"/>
      <c r="M6" s="52"/>
    </row>
    <row r="7" spans="1:13" s="49" customFormat="1" ht="12">
      <c r="A7" s="52"/>
      <c r="B7" s="52"/>
      <c r="C7" s="61"/>
      <c r="D7" s="62" t="s">
        <v>701</v>
      </c>
      <c r="E7" s="63"/>
      <c r="F7" s="63"/>
      <c r="G7" s="63"/>
      <c r="H7" s="63"/>
      <c r="I7" s="59"/>
      <c r="J7" s="59"/>
      <c r="K7" s="59"/>
      <c r="L7" s="59"/>
      <c r="M7" s="52"/>
    </row>
    <row r="8" spans="1:13" s="49" customFormat="1" ht="12">
      <c r="A8" s="52"/>
      <c r="B8" s="52"/>
      <c r="C8" s="52"/>
      <c r="D8" s="64" t="s">
        <v>458</v>
      </c>
      <c r="E8" s="58"/>
      <c r="F8" s="58"/>
      <c r="G8" s="58"/>
      <c r="I8" s="59"/>
      <c r="J8" s="59"/>
      <c r="K8" s="59"/>
      <c r="L8" s="59"/>
      <c r="M8" s="52"/>
    </row>
    <row r="9" spans="1:13" s="49" customFormat="1" ht="7.5" customHeight="1">
      <c r="A9" s="65"/>
      <c r="B9" s="65"/>
      <c r="C9" s="52"/>
      <c r="E9" s="52"/>
      <c r="F9" s="52"/>
      <c r="G9" s="52"/>
      <c r="H9" s="52"/>
      <c r="I9" s="52"/>
      <c r="J9" s="52"/>
      <c r="M9" s="52"/>
    </row>
    <row r="10" spans="1:14" ht="12">
      <c r="A10" s="93" t="s">
        <v>461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</row>
    <row r="11" spans="1:10" ht="12">
      <c r="A11" s="66" t="s">
        <v>447</v>
      </c>
      <c r="B11" s="67"/>
      <c r="C11" s="94">
        <v>1702138</v>
      </c>
      <c r="D11" s="94"/>
      <c r="E11" s="94"/>
      <c r="F11" s="57" t="s">
        <v>446</v>
      </c>
      <c r="G11" s="68"/>
      <c r="H11" s="68"/>
      <c r="I11" s="68"/>
      <c r="J11" s="68"/>
    </row>
    <row r="12" spans="1:12" ht="12">
      <c r="A12" s="66" t="s">
        <v>457</v>
      </c>
      <c r="B12" s="67"/>
      <c r="C12" s="69"/>
      <c r="D12" s="95">
        <v>303468</v>
      </c>
      <c r="E12" s="95"/>
      <c r="F12" s="57" t="s">
        <v>446</v>
      </c>
      <c r="G12" s="68"/>
      <c r="H12" s="68"/>
      <c r="I12" s="114" t="s">
        <v>715</v>
      </c>
      <c r="J12" s="114"/>
      <c r="K12" s="114"/>
      <c r="L12" s="114"/>
    </row>
    <row r="13" spans="1:12" ht="12">
      <c r="A13" s="66" t="s">
        <v>142</v>
      </c>
      <c r="B13" s="46"/>
      <c r="C13" s="70"/>
      <c r="D13" s="71"/>
      <c r="E13" s="72"/>
      <c r="F13" s="73"/>
      <c r="G13" s="74"/>
      <c r="H13" s="74"/>
      <c r="I13" s="114"/>
      <c r="J13" s="114"/>
      <c r="K13" s="114"/>
      <c r="L13" s="114"/>
    </row>
    <row r="14" spans="1:14" ht="11.25" customHeight="1">
      <c r="A14" s="52"/>
      <c r="B14" s="57"/>
      <c r="C14" s="57"/>
      <c r="D14" s="52"/>
      <c r="E14" s="68"/>
      <c r="F14" s="68"/>
      <c r="G14" s="68"/>
      <c r="H14" s="69"/>
      <c r="I14" s="114"/>
      <c r="J14" s="114"/>
      <c r="K14" s="114"/>
      <c r="L14" s="114"/>
      <c r="M14" s="68"/>
      <c r="N14" s="46" t="s">
        <v>446</v>
      </c>
    </row>
    <row r="15" spans="1:14" ht="12.75" customHeight="1">
      <c r="A15" s="110" t="s">
        <v>229</v>
      </c>
      <c r="B15" s="110" t="s">
        <v>454</v>
      </c>
      <c r="C15" s="96" t="s">
        <v>459</v>
      </c>
      <c r="D15" s="96" t="s">
        <v>455</v>
      </c>
      <c r="E15" s="102" t="s">
        <v>143</v>
      </c>
      <c r="F15" s="103"/>
      <c r="G15" s="104"/>
      <c r="H15" s="96" t="s">
        <v>441</v>
      </c>
      <c r="I15" s="102" t="s">
        <v>144</v>
      </c>
      <c r="J15" s="108"/>
      <c r="K15" s="108"/>
      <c r="L15" s="99"/>
      <c r="M15" s="98" t="s">
        <v>456</v>
      </c>
      <c r="N15" s="99"/>
    </row>
    <row r="16" spans="1:14" s="50" customFormat="1" ht="38.25" customHeight="1">
      <c r="A16" s="111"/>
      <c r="B16" s="111"/>
      <c r="C16" s="111"/>
      <c r="D16" s="111"/>
      <c r="E16" s="105"/>
      <c r="F16" s="106"/>
      <c r="G16" s="107"/>
      <c r="H16" s="111"/>
      <c r="I16" s="100"/>
      <c r="J16" s="109"/>
      <c r="K16" s="109"/>
      <c r="L16" s="101"/>
      <c r="M16" s="100"/>
      <c r="N16" s="101"/>
    </row>
    <row r="17" spans="1:14" s="50" customFormat="1" ht="12.75" customHeight="1">
      <c r="A17" s="111"/>
      <c r="B17" s="111"/>
      <c r="C17" s="111"/>
      <c r="D17" s="111"/>
      <c r="E17" s="75" t="s">
        <v>449</v>
      </c>
      <c r="F17" s="75" t="s">
        <v>451</v>
      </c>
      <c r="G17" s="96" t="s">
        <v>453</v>
      </c>
      <c r="H17" s="111"/>
      <c r="I17" s="96" t="s">
        <v>449</v>
      </c>
      <c r="J17" s="96" t="s">
        <v>452</v>
      </c>
      <c r="K17" s="75" t="s">
        <v>451</v>
      </c>
      <c r="L17" s="96" t="s">
        <v>453</v>
      </c>
      <c r="M17" s="110" t="s">
        <v>445</v>
      </c>
      <c r="N17" s="96" t="s">
        <v>449</v>
      </c>
    </row>
    <row r="18" spans="1:14" s="50" customFormat="1" ht="11.25" customHeight="1">
      <c r="A18" s="97"/>
      <c r="B18" s="97"/>
      <c r="C18" s="97"/>
      <c r="D18" s="97"/>
      <c r="E18" s="76" t="s">
        <v>448</v>
      </c>
      <c r="F18" s="75" t="s">
        <v>450</v>
      </c>
      <c r="G18" s="97"/>
      <c r="H18" s="97"/>
      <c r="I18" s="97"/>
      <c r="J18" s="97"/>
      <c r="K18" s="75" t="s">
        <v>450</v>
      </c>
      <c r="L18" s="97"/>
      <c r="M18" s="97"/>
      <c r="N18" s="97"/>
    </row>
    <row r="19" spans="1:20" ht="12">
      <c r="A19" s="77">
        <v>1</v>
      </c>
      <c r="B19" s="77">
        <v>2</v>
      </c>
      <c r="C19" s="77">
        <v>3</v>
      </c>
      <c r="D19" s="77">
        <v>4</v>
      </c>
      <c r="E19" s="77">
        <v>5</v>
      </c>
      <c r="F19" s="77">
        <v>6</v>
      </c>
      <c r="G19" s="77">
        <v>7</v>
      </c>
      <c r="H19" s="77">
        <v>8</v>
      </c>
      <c r="I19" s="77">
        <v>9</v>
      </c>
      <c r="J19" s="77">
        <v>10</v>
      </c>
      <c r="K19" s="77">
        <v>11</v>
      </c>
      <c r="L19" s="77">
        <v>12</v>
      </c>
      <c r="M19" s="77">
        <v>13</v>
      </c>
      <c r="N19" s="77">
        <v>14</v>
      </c>
      <c r="O19" s="51"/>
      <c r="P19" s="51"/>
      <c r="Q19" s="51"/>
      <c r="R19" s="51"/>
      <c r="S19" s="51"/>
      <c r="T19" s="51"/>
    </row>
    <row r="20" spans="1:14" ht="17.25" customHeight="1">
      <c r="A20" s="89" t="s">
        <v>463</v>
      </c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</row>
    <row r="21" spans="1:14" ht="72">
      <c r="A21" s="78">
        <v>1</v>
      </c>
      <c r="B21" s="79" t="s">
        <v>464</v>
      </c>
      <c r="C21" s="79" t="s">
        <v>465</v>
      </c>
      <c r="D21" s="78">
        <v>0.28</v>
      </c>
      <c r="E21" s="80" t="s">
        <v>466</v>
      </c>
      <c r="F21" s="80" t="s">
        <v>467</v>
      </c>
      <c r="G21" s="80">
        <v>4467.87</v>
      </c>
      <c r="H21" s="81" t="s">
        <v>468</v>
      </c>
      <c r="I21" s="82">
        <v>19055</v>
      </c>
      <c r="J21" s="80">
        <v>12996</v>
      </c>
      <c r="K21" s="80" t="s">
        <v>469</v>
      </c>
      <c r="L21" s="80" t="str">
        <f>IF(0.28*4467.87=0," ",TEXT(,ROUND((0.28*4467.87*3.85),2)))</f>
        <v>4816,36</v>
      </c>
      <c r="M21" s="80" t="s">
        <v>470</v>
      </c>
      <c r="N21" s="80" t="s">
        <v>471</v>
      </c>
    </row>
    <row r="22" spans="1:14" ht="60">
      <c r="A22" s="78">
        <v>2</v>
      </c>
      <c r="B22" s="79" t="s">
        <v>472</v>
      </c>
      <c r="C22" s="79" t="s">
        <v>473</v>
      </c>
      <c r="D22" s="78">
        <v>3.656</v>
      </c>
      <c r="E22" s="80" t="s">
        <v>474</v>
      </c>
      <c r="F22" s="80">
        <v>30.64</v>
      </c>
      <c r="G22" s="80"/>
      <c r="H22" s="81" t="s">
        <v>475</v>
      </c>
      <c r="I22" s="82">
        <v>7787</v>
      </c>
      <c r="J22" s="80">
        <v>7452</v>
      </c>
      <c r="K22" s="80">
        <v>335</v>
      </c>
      <c r="L22" s="80" t="str">
        <f>IF(3.656*0=0," ",TEXT(,ROUND((3.656*0*1),2)))</f>
        <v> </v>
      </c>
      <c r="M22" s="80">
        <v>15.9</v>
      </c>
      <c r="N22" s="80">
        <v>58.13</v>
      </c>
    </row>
    <row r="23" spans="1:14" ht="60">
      <c r="A23" s="78">
        <v>3</v>
      </c>
      <c r="B23" s="79" t="s">
        <v>476</v>
      </c>
      <c r="C23" s="79" t="s">
        <v>477</v>
      </c>
      <c r="D23" s="78">
        <v>3.574</v>
      </c>
      <c r="E23" s="80" t="s">
        <v>478</v>
      </c>
      <c r="F23" s="80" t="s">
        <v>479</v>
      </c>
      <c r="G23" s="80"/>
      <c r="H23" s="81" t="s">
        <v>480</v>
      </c>
      <c r="I23" s="82">
        <v>8781</v>
      </c>
      <c r="J23" s="80">
        <v>7074</v>
      </c>
      <c r="K23" s="80" t="s">
        <v>481</v>
      </c>
      <c r="L23" s="80" t="str">
        <f>IF(3.574*0=0," ",TEXT(,ROUND((3.574*0*1),2)))</f>
        <v> </v>
      </c>
      <c r="M23" s="80" t="s">
        <v>482</v>
      </c>
      <c r="N23" s="80" t="s">
        <v>483</v>
      </c>
    </row>
    <row r="24" spans="1:14" ht="84">
      <c r="A24" s="78">
        <v>4</v>
      </c>
      <c r="B24" s="79" t="s">
        <v>484</v>
      </c>
      <c r="C24" s="79" t="s">
        <v>485</v>
      </c>
      <c r="D24" s="78">
        <v>5.8</v>
      </c>
      <c r="E24" s="80" t="s">
        <v>486</v>
      </c>
      <c r="F24" s="80" t="s">
        <v>487</v>
      </c>
      <c r="G24" s="80"/>
      <c r="H24" s="81" t="s">
        <v>488</v>
      </c>
      <c r="I24" s="82">
        <v>17192</v>
      </c>
      <c r="J24" s="80">
        <v>15282</v>
      </c>
      <c r="K24" s="80" t="s">
        <v>489</v>
      </c>
      <c r="L24" s="80" t="str">
        <f>IF(5.8*0=0," ",TEXT(,ROUND((5.8*0*3.71),2)))</f>
        <v> </v>
      </c>
      <c r="M24" s="80" t="s">
        <v>490</v>
      </c>
      <c r="N24" s="80" t="s">
        <v>491</v>
      </c>
    </row>
    <row r="25" spans="1:14" ht="60">
      <c r="A25" s="78">
        <v>5</v>
      </c>
      <c r="B25" s="79" t="s">
        <v>492</v>
      </c>
      <c r="C25" s="79" t="s">
        <v>493</v>
      </c>
      <c r="D25" s="78">
        <v>0.257</v>
      </c>
      <c r="E25" s="80" t="s">
        <v>494</v>
      </c>
      <c r="F25" s="80">
        <v>33.51</v>
      </c>
      <c r="G25" s="80"/>
      <c r="H25" s="81" t="s">
        <v>495</v>
      </c>
      <c r="I25" s="82">
        <v>890</v>
      </c>
      <c r="J25" s="80">
        <v>790</v>
      </c>
      <c r="K25" s="80">
        <v>100</v>
      </c>
      <c r="L25" s="80" t="str">
        <f>IF(0.257*0=0," ",TEXT(,ROUND((0.257*0*3.37),2)))</f>
        <v> </v>
      </c>
      <c r="M25" s="80">
        <v>22.5</v>
      </c>
      <c r="N25" s="80">
        <v>5.78</v>
      </c>
    </row>
    <row r="26" spans="1:14" ht="60">
      <c r="A26" s="78">
        <v>6</v>
      </c>
      <c r="B26" s="79" t="s">
        <v>496</v>
      </c>
      <c r="C26" s="79" t="s">
        <v>497</v>
      </c>
      <c r="D26" s="78">
        <v>0.1274</v>
      </c>
      <c r="E26" s="80" t="s">
        <v>498</v>
      </c>
      <c r="F26" s="80" t="s">
        <v>499</v>
      </c>
      <c r="G26" s="80"/>
      <c r="H26" s="81" t="s">
        <v>500</v>
      </c>
      <c r="I26" s="82">
        <v>261</v>
      </c>
      <c r="J26" s="80">
        <v>197</v>
      </c>
      <c r="K26" s="80" t="s">
        <v>501</v>
      </c>
      <c r="L26" s="80" t="str">
        <f>IF(0.1274*0=0," ",TEXT(,ROUND((0.1274*0*1),2)))</f>
        <v> </v>
      </c>
      <c r="M26" s="80" t="s">
        <v>502</v>
      </c>
      <c r="N26" s="80" t="s">
        <v>503</v>
      </c>
    </row>
    <row r="27" spans="1:14" ht="60">
      <c r="A27" s="78">
        <v>7</v>
      </c>
      <c r="B27" s="79" t="s">
        <v>504</v>
      </c>
      <c r="C27" s="79" t="s">
        <v>505</v>
      </c>
      <c r="D27" s="78" t="s">
        <v>506</v>
      </c>
      <c r="E27" s="80" t="s">
        <v>507</v>
      </c>
      <c r="F27" s="80"/>
      <c r="G27" s="80"/>
      <c r="H27" s="81" t="s">
        <v>508</v>
      </c>
      <c r="I27" s="82">
        <v>13785</v>
      </c>
      <c r="J27" s="80">
        <v>13785</v>
      </c>
      <c r="K27" s="80"/>
      <c r="L27" s="80" t="str">
        <f>IF(0.5392*0=0," ",TEXT(,ROUND((0.5392*0*1),2)))</f>
        <v> </v>
      </c>
      <c r="M27" s="80">
        <v>214.32</v>
      </c>
      <c r="N27" s="80">
        <v>115.56</v>
      </c>
    </row>
    <row r="28" spans="1:14" ht="60">
      <c r="A28" s="78">
        <v>8</v>
      </c>
      <c r="B28" s="79" t="s">
        <v>509</v>
      </c>
      <c r="C28" s="79" t="s">
        <v>510</v>
      </c>
      <c r="D28" s="78">
        <v>53.92</v>
      </c>
      <c r="E28" s="80" t="s">
        <v>511</v>
      </c>
      <c r="F28" s="80"/>
      <c r="G28" s="80">
        <v>16.4</v>
      </c>
      <c r="H28" s="81" t="s">
        <v>512</v>
      </c>
      <c r="I28" s="82">
        <v>13104</v>
      </c>
      <c r="J28" s="80">
        <v>6580</v>
      </c>
      <c r="K28" s="80"/>
      <c r="L28" s="80" t="str">
        <f>IF(53.92*16.4=0," ",TEXT(,ROUND((53.92*16.4*7.38),2)))</f>
        <v>6526,05</v>
      </c>
      <c r="M28" s="80">
        <v>1.03</v>
      </c>
      <c r="N28" s="80">
        <v>55.54</v>
      </c>
    </row>
    <row r="29" spans="1:14" ht="96">
      <c r="A29" s="78">
        <v>9</v>
      </c>
      <c r="B29" s="79" t="s">
        <v>513</v>
      </c>
      <c r="C29" s="79" t="s">
        <v>514</v>
      </c>
      <c r="D29" s="78">
        <v>0.016</v>
      </c>
      <c r="E29" s="80" t="s">
        <v>515</v>
      </c>
      <c r="F29" s="80" t="s">
        <v>516</v>
      </c>
      <c r="G29" s="80"/>
      <c r="H29" s="81" t="s">
        <v>517</v>
      </c>
      <c r="I29" s="82">
        <v>368</v>
      </c>
      <c r="J29" s="80">
        <v>214</v>
      </c>
      <c r="K29" s="80" t="s">
        <v>518</v>
      </c>
      <c r="L29" s="80" t="str">
        <f>IF(0.016*0=0," ",TEXT(,ROUND((0.016*0*8.17),2)))</f>
        <v> </v>
      </c>
      <c r="M29" s="80" t="s">
        <v>519</v>
      </c>
      <c r="N29" s="80" t="s">
        <v>520</v>
      </c>
    </row>
    <row r="30" spans="1:14" ht="60">
      <c r="A30" s="78">
        <v>10</v>
      </c>
      <c r="B30" s="79" t="s">
        <v>521</v>
      </c>
      <c r="C30" s="79" t="s">
        <v>522</v>
      </c>
      <c r="D30" s="78">
        <v>1.975</v>
      </c>
      <c r="E30" s="80" t="s">
        <v>523</v>
      </c>
      <c r="F30" s="80">
        <v>1.74</v>
      </c>
      <c r="G30" s="80"/>
      <c r="H30" s="81" t="s">
        <v>524</v>
      </c>
      <c r="I30" s="82">
        <v>741</v>
      </c>
      <c r="J30" s="80">
        <v>707</v>
      </c>
      <c r="K30" s="80">
        <v>34</v>
      </c>
      <c r="L30" s="80" t="str">
        <f>IF(1.975*0=0," ",TEXT(,ROUND((1.975*0*1.64),2)))</f>
        <v> </v>
      </c>
      <c r="M30" s="80">
        <v>2.51</v>
      </c>
      <c r="N30" s="80">
        <v>4.96</v>
      </c>
    </row>
    <row r="31" spans="1:14" ht="60">
      <c r="A31" s="78">
        <v>11</v>
      </c>
      <c r="B31" s="79" t="s">
        <v>525</v>
      </c>
      <c r="C31" s="79" t="s">
        <v>526</v>
      </c>
      <c r="D31" s="78">
        <v>0.01</v>
      </c>
      <c r="E31" s="80" t="s">
        <v>527</v>
      </c>
      <c r="F31" s="80">
        <v>10.37</v>
      </c>
      <c r="G31" s="80"/>
      <c r="H31" s="81" t="s">
        <v>528</v>
      </c>
      <c r="I31" s="82">
        <v>411</v>
      </c>
      <c r="J31" s="80">
        <v>411</v>
      </c>
      <c r="K31" s="80"/>
      <c r="L31" s="80" t="str">
        <f>IF(0.01*0=0," ",TEXT(,ROUND((0.01*0*1),2)))</f>
        <v> </v>
      </c>
      <c r="M31" s="80">
        <v>309.3</v>
      </c>
      <c r="N31" s="80">
        <v>3.09</v>
      </c>
    </row>
    <row r="32" spans="1:14" ht="72">
      <c r="A32" s="78">
        <v>12</v>
      </c>
      <c r="B32" s="79" t="s">
        <v>529</v>
      </c>
      <c r="C32" s="79" t="s">
        <v>530</v>
      </c>
      <c r="D32" s="78">
        <v>77.882</v>
      </c>
      <c r="E32" s="80">
        <v>3.28</v>
      </c>
      <c r="F32" s="80">
        <v>3.28</v>
      </c>
      <c r="G32" s="80"/>
      <c r="H32" s="81" t="s">
        <v>531</v>
      </c>
      <c r="I32" s="82">
        <v>2948</v>
      </c>
      <c r="J32" s="80"/>
      <c r="K32" s="80">
        <v>2948</v>
      </c>
      <c r="L32" s="80" t="str">
        <f>IF(77.882*0=0," ",TEXT(,ROUND((77.882*0*1),2)))</f>
        <v> </v>
      </c>
      <c r="M32" s="80"/>
      <c r="N32" s="80"/>
    </row>
    <row r="33" spans="1:14" ht="84">
      <c r="A33" s="78">
        <v>13</v>
      </c>
      <c r="B33" s="79" t="s">
        <v>532</v>
      </c>
      <c r="C33" s="79" t="s">
        <v>533</v>
      </c>
      <c r="D33" s="78">
        <v>77.882</v>
      </c>
      <c r="E33" s="80">
        <v>3.86</v>
      </c>
      <c r="F33" s="80">
        <v>3.86</v>
      </c>
      <c r="G33" s="80"/>
      <c r="H33" s="81" t="s">
        <v>534</v>
      </c>
      <c r="I33" s="82">
        <v>2881</v>
      </c>
      <c r="J33" s="80"/>
      <c r="K33" s="80">
        <v>2881</v>
      </c>
      <c r="L33" s="80" t="str">
        <f>IF(77.882*0=0," ",TEXT(,ROUND((77.882*0*1),2)))</f>
        <v> </v>
      </c>
      <c r="M33" s="80"/>
      <c r="N33" s="80"/>
    </row>
    <row r="34" spans="1:14" ht="24">
      <c r="A34" s="91" t="s">
        <v>535</v>
      </c>
      <c r="B34" s="91"/>
      <c r="C34" s="91"/>
      <c r="D34" s="91"/>
      <c r="E34" s="91"/>
      <c r="F34" s="91"/>
      <c r="G34" s="91"/>
      <c r="H34" s="91"/>
      <c r="I34" s="82">
        <v>7245</v>
      </c>
      <c r="J34" s="80">
        <v>3981</v>
      </c>
      <c r="K34" s="80" t="s">
        <v>536</v>
      </c>
      <c r="L34" s="80">
        <v>2135</v>
      </c>
      <c r="M34" s="80"/>
      <c r="N34" s="80" t="s">
        <v>537</v>
      </c>
    </row>
    <row r="35" spans="1:14" ht="24">
      <c r="A35" s="91" t="s">
        <v>538</v>
      </c>
      <c r="B35" s="91"/>
      <c r="C35" s="91"/>
      <c r="D35" s="91"/>
      <c r="E35" s="91"/>
      <c r="F35" s="91"/>
      <c r="G35" s="91"/>
      <c r="H35" s="91"/>
      <c r="I35" s="82">
        <v>88204</v>
      </c>
      <c r="J35" s="80">
        <v>65488</v>
      </c>
      <c r="K35" s="80" t="s">
        <v>539</v>
      </c>
      <c r="L35" s="80">
        <v>11340</v>
      </c>
      <c r="M35" s="80"/>
      <c r="N35" s="80" t="s">
        <v>537</v>
      </c>
    </row>
    <row r="36" spans="1:14" ht="12">
      <c r="A36" s="91" t="s">
        <v>540</v>
      </c>
      <c r="B36" s="91"/>
      <c r="C36" s="91"/>
      <c r="D36" s="91"/>
      <c r="E36" s="91"/>
      <c r="F36" s="91"/>
      <c r="G36" s="91"/>
      <c r="H36" s="91"/>
      <c r="I36" s="82">
        <v>53042</v>
      </c>
      <c r="J36" s="80"/>
      <c r="K36" s="80"/>
      <c r="L36" s="80"/>
      <c r="M36" s="80"/>
      <c r="N36" s="80"/>
    </row>
    <row r="37" spans="1:14" ht="12">
      <c r="A37" s="91" t="s">
        <v>541</v>
      </c>
      <c r="B37" s="91"/>
      <c r="C37" s="91"/>
      <c r="D37" s="91"/>
      <c r="E37" s="91"/>
      <c r="F37" s="91"/>
      <c r="G37" s="91"/>
      <c r="H37" s="91"/>
      <c r="I37" s="82">
        <v>30591</v>
      </c>
      <c r="J37" s="80"/>
      <c r="K37" s="80"/>
      <c r="L37" s="80"/>
      <c r="M37" s="80"/>
      <c r="N37" s="80"/>
    </row>
    <row r="38" spans="1:14" ht="12">
      <c r="A38" s="89" t="s">
        <v>542</v>
      </c>
      <c r="B38" s="89"/>
      <c r="C38" s="89"/>
      <c r="D38" s="89"/>
      <c r="E38" s="89"/>
      <c r="F38" s="89"/>
      <c r="G38" s="89"/>
      <c r="H38" s="89"/>
      <c r="I38" s="82"/>
      <c r="J38" s="80"/>
      <c r="K38" s="80"/>
      <c r="L38" s="80"/>
      <c r="M38" s="80"/>
      <c r="N38" s="80"/>
    </row>
    <row r="39" spans="1:14" ht="24">
      <c r="A39" s="91" t="s">
        <v>543</v>
      </c>
      <c r="B39" s="91"/>
      <c r="C39" s="91"/>
      <c r="D39" s="91"/>
      <c r="E39" s="91"/>
      <c r="F39" s="91"/>
      <c r="G39" s="91"/>
      <c r="H39" s="91"/>
      <c r="I39" s="82">
        <v>36949</v>
      </c>
      <c r="J39" s="80"/>
      <c r="K39" s="80"/>
      <c r="L39" s="80"/>
      <c r="M39" s="80"/>
      <c r="N39" s="80" t="s">
        <v>544</v>
      </c>
    </row>
    <row r="40" spans="1:14" ht="24" customHeight="1">
      <c r="A40" s="91" t="s">
        <v>545</v>
      </c>
      <c r="B40" s="91"/>
      <c r="C40" s="91"/>
      <c r="D40" s="91"/>
      <c r="E40" s="91"/>
      <c r="F40" s="91"/>
      <c r="G40" s="91"/>
      <c r="H40" s="91"/>
      <c r="I40" s="82">
        <v>17996</v>
      </c>
      <c r="J40" s="80"/>
      <c r="K40" s="80"/>
      <c r="L40" s="80"/>
      <c r="M40" s="80"/>
      <c r="N40" s="80">
        <v>58.13</v>
      </c>
    </row>
    <row r="41" spans="1:14" ht="24">
      <c r="A41" s="91" t="s">
        <v>546</v>
      </c>
      <c r="B41" s="91"/>
      <c r="C41" s="91"/>
      <c r="D41" s="91"/>
      <c r="E41" s="91"/>
      <c r="F41" s="91"/>
      <c r="G41" s="91"/>
      <c r="H41" s="91"/>
      <c r="I41" s="82">
        <v>19079</v>
      </c>
      <c r="J41" s="80"/>
      <c r="K41" s="80"/>
      <c r="L41" s="80"/>
      <c r="M41" s="80"/>
      <c r="N41" s="80" t="s">
        <v>547</v>
      </c>
    </row>
    <row r="42" spans="1:14" ht="24">
      <c r="A42" s="91" t="s">
        <v>548</v>
      </c>
      <c r="B42" s="91"/>
      <c r="C42" s="91"/>
      <c r="D42" s="91"/>
      <c r="E42" s="91"/>
      <c r="F42" s="91"/>
      <c r="G42" s="91"/>
      <c r="H42" s="91"/>
      <c r="I42" s="82">
        <v>41175</v>
      </c>
      <c r="J42" s="80"/>
      <c r="K42" s="80"/>
      <c r="L42" s="80"/>
      <c r="M42" s="80"/>
      <c r="N42" s="80" t="s">
        <v>549</v>
      </c>
    </row>
    <row r="43" spans="1:14" ht="12">
      <c r="A43" s="91" t="s">
        <v>550</v>
      </c>
      <c r="B43" s="91"/>
      <c r="C43" s="91"/>
      <c r="D43" s="91"/>
      <c r="E43" s="91"/>
      <c r="F43" s="91"/>
      <c r="G43" s="91"/>
      <c r="H43" s="91"/>
      <c r="I43" s="82">
        <v>50809</v>
      </c>
      <c r="J43" s="80"/>
      <c r="K43" s="80"/>
      <c r="L43" s="80"/>
      <c r="M43" s="80"/>
      <c r="N43" s="80">
        <v>176.06</v>
      </c>
    </row>
    <row r="44" spans="1:14" ht="12">
      <c r="A44" s="91" t="s">
        <v>551</v>
      </c>
      <c r="B44" s="91"/>
      <c r="C44" s="91"/>
      <c r="D44" s="91"/>
      <c r="E44" s="91"/>
      <c r="F44" s="91"/>
      <c r="G44" s="91"/>
      <c r="H44" s="91"/>
      <c r="I44" s="82">
        <v>2948</v>
      </c>
      <c r="J44" s="80"/>
      <c r="K44" s="80"/>
      <c r="L44" s="80"/>
      <c r="M44" s="80"/>
      <c r="N44" s="80"/>
    </row>
    <row r="45" spans="1:14" ht="12">
      <c r="A45" s="91" t="s">
        <v>552</v>
      </c>
      <c r="B45" s="91"/>
      <c r="C45" s="91"/>
      <c r="D45" s="91"/>
      <c r="E45" s="91"/>
      <c r="F45" s="91"/>
      <c r="G45" s="91"/>
      <c r="H45" s="91"/>
      <c r="I45" s="82">
        <v>2881</v>
      </c>
      <c r="J45" s="80"/>
      <c r="K45" s="80"/>
      <c r="L45" s="80"/>
      <c r="M45" s="80"/>
      <c r="N45" s="80"/>
    </row>
    <row r="46" spans="1:14" ht="24">
      <c r="A46" s="91" t="s">
        <v>553</v>
      </c>
      <c r="B46" s="91"/>
      <c r="C46" s="91"/>
      <c r="D46" s="91"/>
      <c r="E46" s="91"/>
      <c r="F46" s="91"/>
      <c r="G46" s="91"/>
      <c r="H46" s="91"/>
      <c r="I46" s="82">
        <v>171837</v>
      </c>
      <c r="J46" s="80"/>
      <c r="K46" s="80"/>
      <c r="L46" s="80"/>
      <c r="M46" s="80"/>
      <c r="N46" s="80" t="s">
        <v>537</v>
      </c>
    </row>
    <row r="47" spans="1:14" ht="12">
      <c r="A47" s="91" t="s">
        <v>554</v>
      </c>
      <c r="B47" s="91"/>
      <c r="C47" s="91"/>
      <c r="D47" s="91"/>
      <c r="E47" s="91"/>
      <c r="F47" s="91"/>
      <c r="G47" s="91"/>
      <c r="H47" s="91"/>
      <c r="I47" s="82"/>
      <c r="J47" s="80"/>
      <c r="K47" s="80"/>
      <c r="L47" s="80"/>
      <c r="M47" s="80"/>
      <c r="N47" s="80"/>
    </row>
    <row r="48" spans="1:14" ht="12">
      <c r="A48" s="91" t="s">
        <v>555</v>
      </c>
      <c r="B48" s="91"/>
      <c r="C48" s="91"/>
      <c r="D48" s="91"/>
      <c r="E48" s="91"/>
      <c r="F48" s="91"/>
      <c r="G48" s="91"/>
      <c r="H48" s="91"/>
      <c r="I48" s="82">
        <v>11340</v>
      </c>
      <c r="J48" s="80"/>
      <c r="K48" s="80"/>
      <c r="L48" s="80"/>
      <c r="M48" s="80"/>
      <c r="N48" s="80"/>
    </row>
    <row r="49" spans="1:14" ht="12">
      <c r="A49" s="91" t="s">
        <v>556</v>
      </c>
      <c r="B49" s="91"/>
      <c r="C49" s="91"/>
      <c r="D49" s="91"/>
      <c r="E49" s="91"/>
      <c r="F49" s="91"/>
      <c r="G49" s="91"/>
      <c r="H49" s="91"/>
      <c r="I49" s="82">
        <v>11376</v>
      </c>
      <c r="J49" s="80"/>
      <c r="K49" s="80"/>
      <c r="L49" s="80"/>
      <c r="M49" s="80"/>
      <c r="N49" s="80"/>
    </row>
    <row r="50" spans="1:14" ht="12">
      <c r="A50" s="91" t="s">
        <v>557</v>
      </c>
      <c r="B50" s="91"/>
      <c r="C50" s="91"/>
      <c r="D50" s="91"/>
      <c r="E50" s="91"/>
      <c r="F50" s="91"/>
      <c r="G50" s="91"/>
      <c r="H50" s="91"/>
      <c r="I50" s="82">
        <v>66096</v>
      </c>
      <c r="J50" s="80"/>
      <c r="K50" s="80"/>
      <c r="L50" s="80"/>
      <c r="M50" s="80"/>
      <c r="N50" s="80"/>
    </row>
    <row r="51" spans="1:14" ht="12">
      <c r="A51" s="91" t="s">
        <v>558</v>
      </c>
      <c r="B51" s="91"/>
      <c r="C51" s="91"/>
      <c r="D51" s="91"/>
      <c r="E51" s="91"/>
      <c r="F51" s="91"/>
      <c r="G51" s="91"/>
      <c r="H51" s="91"/>
      <c r="I51" s="82">
        <v>53042</v>
      </c>
      <c r="J51" s="80"/>
      <c r="K51" s="80"/>
      <c r="L51" s="80"/>
      <c r="M51" s="80"/>
      <c r="N51" s="80"/>
    </row>
    <row r="52" spans="1:14" ht="12">
      <c r="A52" s="91" t="s">
        <v>559</v>
      </c>
      <c r="B52" s="91"/>
      <c r="C52" s="91"/>
      <c r="D52" s="91"/>
      <c r="E52" s="91"/>
      <c r="F52" s="91"/>
      <c r="G52" s="91"/>
      <c r="H52" s="91"/>
      <c r="I52" s="82">
        <v>30591</v>
      </c>
      <c r="J52" s="80"/>
      <c r="K52" s="80"/>
      <c r="L52" s="80"/>
      <c r="M52" s="80"/>
      <c r="N52" s="80"/>
    </row>
    <row r="53" spans="1:14" ht="24">
      <c r="A53" s="89" t="s">
        <v>560</v>
      </c>
      <c r="B53" s="89"/>
      <c r="C53" s="89"/>
      <c r="D53" s="89"/>
      <c r="E53" s="89"/>
      <c r="F53" s="89"/>
      <c r="G53" s="89"/>
      <c r="H53" s="89"/>
      <c r="I53" s="82">
        <v>171837</v>
      </c>
      <c r="J53" s="80"/>
      <c r="K53" s="80"/>
      <c r="L53" s="80"/>
      <c r="M53" s="80"/>
      <c r="N53" s="80" t="s">
        <v>537</v>
      </c>
    </row>
    <row r="54" spans="1:14" ht="17.25" customHeight="1">
      <c r="A54" s="89" t="s">
        <v>561</v>
      </c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</row>
    <row r="55" spans="1:14" ht="17.25" customHeight="1">
      <c r="A55" s="92" t="s">
        <v>562</v>
      </c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</row>
    <row r="56" spans="1:14" ht="120">
      <c r="A56" s="78">
        <v>14</v>
      </c>
      <c r="B56" s="79" t="s">
        <v>484</v>
      </c>
      <c r="C56" s="79" t="s">
        <v>563</v>
      </c>
      <c r="D56" s="78">
        <v>8.534</v>
      </c>
      <c r="E56" s="80" t="s">
        <v>564</v>
      </c>
      <c r="F56" s="80" t="s">
        <v>565</v>
      </c>
      <c r="G56" s="80">
        <v>2062.26</v>
      </c>
      <c r="H56" s="81" t="s">
        <v>488</v>
      </c>
      <c r="I56" s="82">
        <v>102018</v>
      </c>
      <c r="J56" s="80">
        <v>32324</v>
      </c>
      <c r="K56" s="80" t="s">
        <v>566</v>
      </c>
      <c r="L56" s="80" t="str">
        <f>IF(8.534*2062.26=0," ",TEXT(,ROUND((8.534*2062.26*3.71),2)))</f>
        <v>65293,5</v>
      </c>
      <c r="M56" s="80" t="s">
        <v>567</v>
      </c>
      <c r="N56" s="80" t="s">
        <v>568</v>
      </c>
    </row>
    <row r="57" spans="1:14" ht="120">
      <c r="A57" s="78">
        <v>15</v>
      </c>
      <c r="B57" s="79" t="s">
        <v>492</v>
      </c>
      <c r="C57" s="79" t="s">
        <v>569</v>
      </c>
      <c r="D57" s="78">
        <v>3.888</v>
      </c>
      <c r="E57" s="80" t="s">
        <v>570</v>
      </c>
      <c r="F57" s="80">
        <v>41.89</v>
      </c>
      <c r="G57" s="80">
        <v>2189</v>
      </c>
      <c r="H57" s="81" t="s">
        <v>495</v>
      </c>
      <c r="I57" s="82">
        <v>44355</v>
      </c>
      <c r="J57" s="80">
        <v>13867</v>
      </c>
      <c r="K57" s="80">
        <v>1806</v>
      </c>
      <c r="L57" s="80" t="str">
        <f>IF(3.888*2189=0," ",TEXT(,ROUND((3.888*2189*3.37),2)))</f>
        <v>28681,5</v>
      </c>
      <c r="M57" s="80">
        <v>25.88</v>
      </c>
      <c r="N57" s="80">
        <v>100.62</v>
      </c>
    </row>
    <row r="58" spans="1:14" ht="60">
      <c r="A58" s="78">
        <v>16</v>
      </c>
      <c r="B58" s="79" t="s">
        <v>571</v>
      </c>
      <c r="C58" s="79" t="s">
        <v>572</v>
      </c>
      <c r="D58" s="78">
        <v>1.61</v>
      </c>
      <c r="E58" s="80" t="s">
        <v>573</v>
      </c>
      <c r="F58" s="80" t="s">
        <v>574</v>
      </c>
      <c r="G58" s="80">
        <v>2198.68</v>
      </c>
      <c r="H58" s="81" t="s">
        <v>575</v>
      </c>
      <c r="I58" s="82">
        <v>26855</v>
      </c>
      <c r="J58" s="80">
        <v>6695</v>
      </c>
      <c r="K58" s="80" t="s">
        <v>576</v>
      </c>
      <c r="L58" s="80" t="str">
        <f>IF(1.61*2198.68=0," ",TEXT(,ROUND((1.61*2198.68*5.51),2)))</f>
        <v>19504,71</v>
      </c>
      <c r="M58" s="80" t="s">
        <v>577</v>
      </c>
      <c r="N58" s="80" t="s">
        <v>578</v>
      </c>
    </row>
    <row r="59" spans="1:14" ht="72">
      <c r="A59" s="78">
        <v>17</v>
      </c>
      <c r="B59" s="79" t="s">
        <v>579</v>
      </c>
      <c r="C59" s="79" t="s">
        <v>580</v>
      </c>
      <c r="D59" s="78">
        <v>2.3555</v>
      </c>
      <c r="E59" s="80" t="s">
        <v>581</v>
      </c>
      <c r="F59" s="80" t="s">
        <v>582</v>
      </c>
      <c r="G59" s="80">
        <v>1570.73</v>
      </c>
      <c r="H59" s="81" t="s">
        <v>583</v>
      </c>
      <c r="I59" s="82">
        <v>26608</v>
      </c>
      <c r="J59" s="80">
        <v>6564</v>
      </c>
      <c r="K59" s="80" t="s">
        <v>584</v>
      </c>
      <c r="L59" s="80" t="str">
        <f>IF(2.3555*1570.73=0," ",TEXT(,ROUND((2.3555*1570.73*5.25),2)))</f>
        <v>19424,24</v>
      </c>
      <c r="M59" s="80" t="s">
        <v>585</v>
      </c>
      <c r="N59" s="80" t="s">
        <v>586</v>
      </c>
    </row>
    <row r="60" spans="1:14" ht="132">
      <c r="A60" s="78">
        <v>18</v>
      </c>
      <c r="B60" s="79" t="s">
        <v>587</v>
      </c>
      <c r="C60" s="79" t="s">
        <v>588</v>
      </c>
      <c r="D60" s="78">
        <v>0.731</v>
      </c>
      <c r="E60" s="80" t="s">
        <v>589</v>
      </c>
      <c r="F60" s="80">
        <v>99.76</v>
      </c>
      <c r="G60" s="80">
        <v>4013.93</v>
      </c>
      <c r="H60" s="81" t="s">
        <v>590</v>
      </c>
      <c r="I60" s="82">
        <v>36797</v>
      </c>
      <c r="J60" s="80">
        <v>16861</v>
      </c>
      <c r="K60" s="80">
        <v>829</v>
      </c>
      <c r="L60" s="80" t="str">
        <f>IF(0.731*4013.93=0," ",TEXT(,ROUND((0.731*4013.93*6.51),2)))</f>
        <v>19101,53</v>
      </c>
      <c r="M60" s="80">
        <v>164.45</v>
      </c>
      <c r="N60" s="80">
        <v>120.21</v>
      </c>
    </row>
    <row r="61" spans="1:14" ht="72">
      <c r="A61" s="78">
        <v>19</v>
      </c>
      <c r="B61" s="79" t="s">
        <v>591</v>
      </c>
      <c r="C61" s="79" t="s">
        <v>592</v>
      </c>
      <c r="D61" s="78">
        <v>-0.7749</v>
      </c>
      <c r="E61" s="80">
        <v>1784</v>
      </c>
      <c r="F61" s="80"/>
      <c r="G61" s="80">
        <v>1784</v>
      </c>
      <c r="H61" s="81" t="s">
        <v>593</v>
      </c>
      <c r="I61" s="82">
        <v>-12985</v>
      </c>
      <c r="J61" s="80"/>
      <c r="K61" s="80"/>
      <c r="L61" s="80" t="str">
        <f>IF(-0.7749*1784=0," ",TEXT(,ROUND((-0.7749*1784*9.396),2)))</f>
        <v>-12989,23</v>
      </c>
      <c r="M61" s="80"/>
      <c r="N61" s="80"/>
    </row>
    <row r="62" spans="1:14" ht="60">
      <c r="A62" s="78">
        <v>20</v>
      </c>
      <c r="B62" s="79" t="s">
        <v>594</v>
      </c>
      <c r="C62" s="79" t="s">
        <v>595</v>
      </c>
      <c r="D62" s="78">
        <v>1.462</v>
      </c>
      <c r="E62" s="80">
        <v>1492.01</v>
      </c>
      <c r="F62" s="80"/>
      <c r="G62" s="80">
        <v>1492.01</v>
      </c>
      <c r="H62" s="81" t="s">
        <v>596</v>
      </c>
      <c r="I62" s="82">
        <v>8020</v>
      </c>
      <c r="J62" s="80"/>
      <c r="K62" s="80"/>
      <c r="L62" s="80" t="str">
        <f>IF(1.462*1492.01=0," ",TEXT(,ROUND((1.462*1492.01*3.677),2)))</f>
        <v>8020,71</v>
      </c>
      <c r="M62" s="80"/>
      <c r="N62" s="80"/>
    </row>
    <row r="63" spans="1:14" ht="132">
      <c r="A63" s="78">
        <v>21</v>
      </c>
      <c r="B63" s="79" t="s">
        <v>597</v>
      </c>
      <c r="C63" s="79" t="s">
        <v>598</v>
      </c>
      <c r="D63" s="78">
        <v>0.2194</v>
      </c>
      <c r="E63" s="80" t="s">
        <v>599</v>
      </c>
      <c r="F63" s="80">
        <v>115.21</v>
      </c>
      <c r="G63" s="80">
        <v>4663.03</v>
      </c>
      <c r="H63" s="81" t="s">
        <v>600</v>
      </c>
      <c r="I63" s="82">
        <v>10172</v>
      </c>
      <c r="J63" s="80">
        <v>2402</v>
      </c>
      <c r="K63" s="80">
        <v>285</v>
      </c>
      <c r="L63" s="80" t="str">
        <f>IF(0.2194*4663.03=0," ",TEXT(,ROUND((0.2194*4663.03*7.31),2)))</f>
        <v>7478,63</v>
      </c>
      <c r="M63" s="80">
        <v>78.2</v>
      </c>
      <c r="N63" s="80">
        <v>17.16</v>
      </c>
    </row>
    <row r="64" spans="1:14" ht="72">
      <c r="A64" s="78">
        <v>22</v>
      </c>
      <c r="B64" s="79" t="s">
        <v>591</v>
      </c>
      <c r="C64" s="79" t="s">
        <v>592</v>
      </c>
      <c r="D64" s="78">
        <v>-0.3467</v>
      </c>
      <c r="E64" s="80">
        <v>1784</v>
      </c>
      <c r="F64" s="80"/>
      <c r="G64" s="80">
        <v>1784</v>
      </c>
      <c r="H64" s="81" t="s">
        <v>593</v>
      </c>
      <c r="I64" s="82">
        <v>-5816</v>
      </c>
      <c r="J64" s="80"/>
      <c r="K64" s="80"/>
      <c r="L64" s="80" t="str">
        <f>IF(-0.3467*1784=0," ",TEXT(,ROUND((-0.3467*1784*9.396),2)))</f>
        <v>-5811,55</v>
      </c>
      <c r="M64" s="80"/>
      <c r="N64" s="80"/>
    </row>
    <row r="65" spans="1:14" ht="60">
      <c r="A65" s="78">
        <v>23</v>
      </c>
      <c r="B65" s="79" t="s">
        <v>594</v>
      </c>
      <c r="C65" s="79" t="s">
        <v>595</v>
      </c>
      <c r="D65" s="78">
        <v>0.439</v>
      </c>
      <c r="E65" s="80">
        <v>1492.01</v>
      </c>
      <c r="F65" s="80"/>
      <c r="G65" s="80">
        <v>1492.01</v>
      </c>
      <c r="H65" s="81" t="s">
        <v>596</v>
      </c>
      <c r="I65" s="82">
        <v>2408</v>
      </c>
      <c r="J65" s="80"/>
      <c r="K65" s="80"/>
      <c r="L65" s="80" t="str">
        <f>IF(0.439*1492.01=0," ",TEXT(,ROUND((0.439*1492.01*3.677),2)))</f>
        <v>2408,41</v>
      </c>
      <c r="M65" s="80"/>
      <c r="N65" s="80"/>
    </row>
    <row r="66" spans="1:14" ht="120">
      <c r="A66" s="78">
        <v>24</v>
      </c>
      <c r="B66" s="79" t="s">
        <v>601</v>
      </c>
      <c r="C66" s="79" t="s">
        <v>602</v>
      </c>
      <c r="D66" s="78">
        <v>0.03</v>
      </c>
      <c r="E66" s="80" t="s">
        <v>603</v>
      </c>
      <c r="F66" s="80" t="s">
        <v>604</v>
      </c>
      <c r="G66" s="80">
        <v>1633.35</v>
      </c>
      <c r="H66" s="81" t="s">
        <v>605</v>
      </c>
      <c r="I66" s="82">
        <v>565</v>
      </c>
      <c r="J66" s="80">
        <v>345</v>
      </c>
      <c r="K66" s="80" t="s">
        <v>606</v>
      </c>
      <c r="L66" s="80" t="str">
        <f>IF(0.03*1633.35=0," ",TEXT(,ROUND((0.03*1633.35*2.33),2)))</f>
        <v>114,17</v>
      </c>
      <c r="M66" s="80" t="s">
        <v>607</v>
      </c>
      <c r="N66" s="80" t="s">
        <v>608</v>
      </c>
    </row>
    <row r="67" spans="1:14" ht="60">
      <c r="A67" s="78">
        <v>25</v>
      </c>
      <c r="B67" s="79" t="s">
        <v>609</v>
      </c>
      <c r="C67" s="79" t="s">
        <v>610</v>
      </c>
      <c r="D67" s="78">
        <v>0.9</v>
      </c>
      <c r="E67" s="80">
        <v>161.47</v>
      </c>
      <c r="F67" s="80"/>
      <c r="G67" s="80">
        <v>161.47</v>
      </c>
      <c r="H67" s="81" t="s">
        <v>611</v>
      </c>
      <c r="I67" s="82">
        <v>962</v>
      </c>
      <c r="J67" s="80"/>
      <c r="K67" s="80"/>
      <c r="L67" s="80" t="str">
        <f>IF(0.9*161.47=0," ",TEXT(,ROUND((0.9*161.47*6.633),2)))</f>
        <v>963,93</v>
      </c>
      <c r="M67" s="80"/>
      <c r="N67" s="80"/>
    </row>
    <row r="68" spans="1:14" ht="60">
      <c r="A68" s="78">
        <v>26</v>
      </c>
      <c r="B68" s="79" t="s">
        <v>612</v>
      </c>
      <c r="C68" s="79" t="s">
        <v>613</v>
      </c>
      <c r="D68" s="78">
        <v>3</v>
      </c>
      <c r="E68" s="80">
        <v>13.42</v>
      </c>
      <c r="F68" s="80"/>
      <c r="G68" s="80">
        <v>13.42</v>
      </c>
      <c r="H68" s="81" t="s">
        <v>614</v>
      </c>
      <c r="I68" s="82">
        <v>78</v>
      </c>
      <c r="J68" s="80"/>
      <c r="K68" s="80"/>
      <c r="L68" s="80" t="str">
        <f>IF(3*13.42=0," ",TEXT(,ROUND((3*13.42*1.941),2)))</f>
        <v>78,14</v>
      </c>
      <c r="M68" s="80"/>
      <c r="N68" s="80"/>
    </row>
    <row r="69" spans="1:14" ht="60">
      <c r="A69" s="78">
        <v>27</v>
      </c>
      <c r="B69" s="79" t="s">
        <v>615</v>
      </c>
      <c r="C69" s="79" t="s">
        <v>616</v>
      </c>
      <c r="D69" s="78">
        <v>6</v>
      </c>
      <c r="E69" s="80">
        <v>3.74</v>
      </c>
      <c r="F69" s="80"/>
      <c r="G69" s="80">
        <v>3.74</v>
      </c>
      <c r="H69" s="81" t="s">
        <v>617</v>
      </c>
      <c r="I69" s="82">
        <v>51</v>
      </c>
      <c r="J69" s="80"/>
      <c r="K69" s="80"/>
      <c r="L69" s="80" t="str">
        <f>IF(6*3.74=0," ",TEXT(,ROUND((6*3.74*2.337),2)))</f>
        <v>52,44</v>
      </c>
      <c r="M69" s="80"/>
      <c r="N69" s="80"/>
    </row>
    <row r="70" spans="1:14" ht="120">
      <c r="A70" s="78">
        <v>28</v>
      </c>
      <c r="B70" s="79" t="s">
        <v>618</v>
      </c>
      <c r="C70" s="79" t="s">
        <v>619</v>
      </c>
      <c r="D70" s="78">
        <v>1</v>
      </c>
      <c r="E70" s="80" t="s">
        <v>620</v>
      </c>
      <c r="F70" s="80" t="s">
        <v>621</v>
      </c>
      <c r="G70" s="80">
        <v>300.2</v>
      </c>
      <c r="H70" s="81" t="s">
        <v>622</v>
      </c>
      <c r="I70" s="82">
        <v>2966</v>
      </c>
      <c r="J70" s="80">
        <v>1069</v>
      </c>
      <c r="K70" s="80" t="s">
        <v>623</v>
      </c>
      <c r="L70" s="80" t="str">
        <f>IF(1*300.2=0," ",TEXT(,ROUND((1*300.2*5.3),2)))</f>
        <v>1591,06</v>
      </c>
      <c r="M70" s="80" t="s">
        <v>624</v>
      </c>
      <c r="N70" s="80" t="s">
        <v>624</v>
      </c>
    </row>
    <row r="71" spans="1:14" ht="60">
      <c r="A71" s="78">
        <v>29</v>
      </c>
      <c r="B71" s="79" t="s">
        <v>612</v>
      </c>
      <c r="C71" s="79" t="s">
        <v>613</v>
      </c>
      <c r="D71" s="78">
        <v>1</v>
      </c>
      <c r="E71" s="80">
        <v>13.42</v>
      </c>
      <c r="F71" s="80"/>
      <c r="G71" s="80">
        <v>13.42</v>
      </c>
      <c r="H71" s="81" t="s">
        <v>614</v>
      </c>
      <c r="I71" s="82">
        <v>25</v>
      </c>
      <c r="J71" s="80"/>
      <c r="K71" s="80"/>
      <c r="L71" s="80" t="str">
        <f>IF(1*13.42=0," ",TEXT(,ROUND((1*13.42*1.941),2)))</f>
        <v>26,05</v>
      </c>
      <c r="M71" s="80"/>
      <c r="N71" s="80"/>
    </row>
    <row r="72" spans="1:14" ht="60">
      <c r="A72" s="78">
        <v>30</v>
      </c>
      <c r="B72" s="79" t="s">
        <v>615</v>
      </c>
      <c r="C72" s="79" t="s">
        <v>616</v>
      </c>
      <c r="D72" s="78">
        <v>2</v>
      </c>
      <c r="E72" s="80">
        <v>3.74</v>
      </c>
      <c r="F72" s="80"/>
      <c r="G72" s="80">
        <v>3.74</v>
      </c>
      <c r="H72" s="81" t="s">
        <v>617</v>
      </c>
      <c r="I72" s="82">
        <v>16</v>
      </c>
      <c r="J72" s="80"/>
      <c r="K72" s="80"/>
      <c r="L72" s="80" t="str">
        <f>IF(2*3.74=0," ",TEXT(,ROUND((2*3.74*2.337),2)))</f>
        <v>17,48</v>
      </c>
      <c r="M72" s="80"/>
      <c r="N72" s="80"/>
    </row>
    <row r="73" spans="1:14" ht="180">
      <c r="A73" s="78">
        <v>31</v>
      </c>
      <c r="B73" s="79" t="s">
        <v>625</v>
      </c>
      <c r="C73" s="79" t="s">
        <v>626</v>
      </c>
      <c r="D73" s="78">
        <v>17.96</v>
      </c>
      <c r="E73" s="80" t="s">
        <v>627</v>
      </c>
      <c r="F73" s="80" t="s">
        <v>628</v>
      </c>
      <c r="G73" s="80">
        <v>1.84</v>
      </c>
      <c r="H73" s="81" t="s">
        <v>629</v>
      </c>
      <c r="I73" s="82">
        <v>71097</v>
      </c>
      <c r="J73" s="80">
        <v>41717</v>
      </c>
      <c r="K73" s="80" t="s">
        <v>630</v>
      </c>
      <c r="L73" s="80" t="str">
        <f>IF(17.96*1.84=0," ",TEXT(,ROUND((17.96*1.84*19.16),2)))</f>
        <v>633,17</v>
      </c>
      <c r="M73" s="80" t="s">
        <v>631</v>
      </c>
      <c r="N73" s="80" t="s">
        <v>632</v>
      </c>
    </row>
    <row r="74" spans="1:14" ht="60">
      <c r="A74" s="78">
        <v>32</v>
      </c>
      <c r="B74" s="79" t="s">
        <v>633</v>
      </c>
      <c r="C74" s="79" t="s">
        <v>634</v>
      </c>
      <c r="D74" s="78" t="s">
        <v>635</v>
      </c>
      <c r="E74" s="80">
        <v>18.53</v>
      </c>
      <c r="F74" s="80"/>
      <c r="G74" s="80">
        <v>18.53</v>
      </c>
      <c r="H74" s="81" t="s">
        <v>636</v>
      </c>
      <c r="I74" s="82">
        <v>122104</v>
      </c>
      <c r="J74" s="80"/>
      <c r="K74" s="80"/>
      <c r="L74" s="80" t="str">
        <f>IF(538.8*18.53=0," ",TEXT(,ROUND((538.8*18.53*12.23),2)))</f>
        <v>122103,88</v>
      </c>
      <c r="M74" s="80"/>
      <c r="N74" s="80"/>
    </row>
    <row r="75" spans="1:14" ht="144">
      <c r="A75" s="78">
        <v>33</v>
      </c>
      <c r="B75" s="79" t="s">
        <v>637</v>
      </c>
      <c r="C75" s="79" t="s">
        <v>638</v>
      </c>
      <c r="D75" s="78">
        <v>0.94</v>
      </c>
      <c r="E75" s="80" t="s">
        <v>639</v>
      </c>
      <c r="F75" s="80">
        <v>8.91</v>
      </c>
      <c r="G75" s="80">
        <v>564.84</v>
      </c>
      <c r="H75" s="81" t="s">
        <v>640</v>
      </c>
      <c r="I75" s="82">
        <v>5171</v>
      </c>
      <c r="J75" s="80">
        <v>2287</v>
      </c>
      <c r="K75" s="80">
        <v>80</v>
      </c>
      <c r="L75" s="80" t="str">
        <f>IF(0.94*564.84=0," ",TEXT(,ROUND((0.94*564.84*5.28),2)))</f>
        <v>2803,41</v>
      </c>
      <c r="M75" s="80">
        <v>15.87</v>
      </c>
      <c r="N75" s="80">
        <v>14.92</v>
      </c>
    </row>
    <row r="76" spans="1:14" ht="17.25" customHeight="1">
      <c r="A76" s="92" t="s">
        <v>641</v>
      </c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</row>
    <row r="77" spans="1:14" ht="72">
      <c r="A77" s="78">
        <v>34</v>
      </c>
      <c r="B77" s="79" t="s">
        <v>642</v>
      </c>
      <c r="C77" s="79" t="s">
        <v>643</v>
      </c>
      <c r="D77" s="78">
        <v>1.61</v>
      </c>
      <c r="E77" s="80" t="s">
        <v>644</v>
      </c>
      <c r="F77" s="80">
        <v>5.23</v>
      </c>
      <c r="G77" s="80">
        <v>883.33</v>
      </c>
      <c r="H77" s="81" t="s">
        <v>645</v>
      </c>
      <c r="I77" s="82">
        <v>8160</v>
      </c>
      <c r="J77" s="80">
        <v>954</v>
      </c>
      <c r="K77" s="80">
        <v>91</v>
      </c>
      <c r="L77" s="80" t="str">
        <f>IF(1.61*883.33=0," ",TEXT(,ROUND((1.61*883.33*5),2)))</f>
        <v>7110,81</v>
      </c>
      <c r="M77" s="80">
        <v>4.52</v>
      </c>
      <c r="N77" s="80">
        <v>7.28</v>
      </c>
    </row>
    <row r="78" spans="1:14" ht="60">
      <c r="A78" s="78">
        <v>35</v>
      </c>
      <c r="B78" s="79" t="s">
        <v>646</v>
      </c>
      <c r="C78" s="79" t="s">
        <v>647</v>
      </c>
      <c r="D78" s="78">
        <v>-185.2</v>
      </c>
      <c r="E78" s="80">
        <v>7.46</v>
      </c>
      <c r="F78" s="80"/>
      <c r="G78" s="80">
        <v>7.46</v>
      </c>
      <c r="H78" s="81" t="s">
        <v>648</v>
      </c>
      <c r="I78" s="82">
        <v>-6909</v>
      </c>
      <c r="J78" s="80"/>
      <c r="K78" s="80"/>
      <c r="L78" s="80" t="str">
        <f>IF(-185.2*7.46=0," ",TEXT(,ROUND((-185.2*7.46*4.999),2)))</f>
        <v>-6906,58</v>
      </c>
      <c r="M78" s="80"/>
      <c r="N78" s="80"/>
    </row>
    <row r="79" spans="1:14" ht="60">
      <c r="A79" s="78">
        <v>36</v>
      </c>
      <c r="B79" s="79" t="s">
        <v>649</v>
      </c>
      <c r="C79" s="79" t="s">
        <v>650</v>
      </c>
      <c r="D79" s="78" t="s">
        <v>651</v>
      </c>
      <c r="E79" s="80">
        <v>37.5</v>
      </c>
      <c r="F79" s="80"/>
      <c r="G79" s="80">
        <v>37.5</v>
      </c>
      <c r="H79" s="81" t="s">
        <v>652</v>
      </c>
      <c r="I79" s="82">
        <v>3399</v>
      </c>
      <c r="J79" s="80"/>
      <c r="K79" s="80"/>
      <c r="L79" s="80" t="str">
        <f>IF(18.52*37.5=0," ",TEXT(,ROUND((18.52*37.5*4.89),2)))</f>
        <v>3396,11</v>
      </c>
      <c r="M79" s="80"/>
      <c r="N79" s="80"/>
    </row>
    <row r="80" spans="1:14" ht="132">
      <c r="A80" s="78">
        <v>37</v>
      </c>
      <c r="B80" s="79" t="s">
        <v>653</v>
      </c>
      <c r="C80" s="79" t="s">
        <v>654</v>
      </c>
      <c r="D80" s="78">
        <v>3.763</v>
      </c>
      <c r="E80" s="80" t="s">
        <v>655</v>
      </c>
      <c r="F80" s="80" t="s">
        <v>656</v>
      </c>
      <c r="G80" s="80">
        <v>11178</v>
      </c>
      <c r="H80" s="81" t="s">
        <v>657</v>
      </c>
      <c r="I80" s="82">
        <v>186494</v>
      </c>
      <c r="J80" s="80">
        <v>29051</v>
      </c>
      <c r="K80" s="80" t="s">
        <v>658</v>
      </c>
      <c r="L80" s="80" t="str">
        <f>IF(3.763*11178=0," ",TEXT(,ROUND((3.763*11178*3.6),2)))</f>
        <v>151426,13</v>
      </c>
      <c r="M80" s="80" t="s">
        <v>659</v>
      </c>
      <c r="N80" s="80" t="s">
        <v>660</v>
      </c>
    </row>
    <row r="81" spans="1:14" ht="60">
      <c r="A81" s="78">
        <v>38</v>
      </c>
      <c r="B81" s="79" t="s">
        <v>661</v>
      </c>
      <c r="C81" s="79" t="s">
        <v>662</v>
      </c>
      <c r="D81" s="78">
        <v>-526.8</v>
      </c>
      <c r="E81" s="80">
        <v>70.5</v>
      </c>
      <c r="F81" s="80"/>
      <c r="G81" s="80">
        <v>70.5</v>
      </c>
      <c r="H81" s="81" t="s">
        <v>663</v>
      </c>
      <c r="I81" s="82">
        <v>-141797</v>
      </c>
      <c r="J81" s="80"/>
      <c r="K81" s="80"/>
      <c r="L81" s="80" t="str">
        <f>IF(-526.8*70.5=0," ",TEXT(,ROUND((-526.8*70.5*3.818),2)))</f>
        <v>-141798,23</v>
      </c>
      <c r="M81" s="80"/>
      <c r="N81" s="80"/>
    </row>
    <row r="82" spans="1:14" ht="72">
      <c r="A82" s="78">
        <v>39</v>
      </c>
      <c r="B82" s="79" t="s">
        <v>664</v>
      </c>
      <c r="C82" s="79" t="s">
        <v>665</v>
      </c>
      <c r="D82" s="78">
        <v>15.7</v>
      </c>
      <c r="E82" s="80">
        <v>25</v>
      </c>
      <c r="F82" s="80"/>
      <c r="G82" s="80">
        <v>25</v>
      </c>
      <c r="H82" s="81" t="s">
        <v>666</v>
      </c>
      <c r="I82" s="82">
        <v>643</v>
      </c>
      <c r="J82" s="80"/>
      <c r="K82" s="80"/>
      <c r="L82" s="80" t="str">
        <f>IF(15.7*25=0," ",TEXT(,ROUND((15.7*25*1.637),2)))</f>
        <v>642,52</v>
      </c>
      <c r="M82" s="80"/>
      <c r="N82" s="80"/>
    </row>
    <row r="83" spans="1:14" ht="72">
      <c r="A83" s="78">
        <v>40</v>
      </c>
      <c r="B83" s="79" t="s">
        <v>667</v>
      </c>
      <c r="C83" s="79" t="s">
        <v>668</v>
      </c>
      <c r="D83" s="78" t="s">
        <v>669</v>
      </c>
      <c r="E83" s="80">
        <v>10090.38</v>
      </c>
      <c r="F83" s="80"/>
      <c r="G83" s="80">
        <v>10090.38</v>
      </c>
      <c r="H83" s="81" t="s">
        <v>670</v>
      </c>
      <c r="I83" s="82">
        <v>141828</v>
      </c>
      <c r="J83" s="80"/>
      <c r="K83" s="80"/>
      <c r="L83" s="80" t="str">
        <f>IF(3.279455*10090.38=0," ",TEXT(,ROUND((3.279455*10090.38*4.286),2)))</f>
        <v>141827,8</v>
      </c>
      <c r="M83" s="80"/>
      <c r="N83" s="80"/>
    </row>
    <row r="84" spans="1:14" ht="60">
      <c r="A84" s="78">
        <v>41</v>
      </c>
      <c r="B84" s="79" t="s">
        <v>671</v>
      </c>
      <c r="C84" s="79" t="s">
        <v>672</v>
      </c>
      <c r="D84" s="78">
        <v>23</v>
      </c>
      <c r="E84" s="80">
        <v>23.15</v>
      </c>
      <c r="F84" s="80"/>
      <c r="G84" s="80">
        <v>23.15</v>
      </c>
      <c r="H84" s="81" t="s">
        <v>673</v>
      </c>
      <c r="I84" s="82">
        <v>804</v>
      </c>
      <c r="J84" s="80"/>
      <c r="K84" s="80"/>
      <c r="L84" s="80" t="str">
        <f>IF(23*23.15=0," ",TEXT(,ROUND((23*23.15*1.511),2)))</f>
        <v>804,53</v>
      </c>
      <c r="M84" s="80"/>
      <c r="N84" s="80"/>
    </row>
    <row r="85" spans="1:14" ht="120">
      <c r="A85" s="78">
        <v>42</v>
      </c>
      <c r="B85" s="79" t="s">
        <v>674</v>
      </c>
      <c r="C85" s="79" t="s">
        <v>675</v>
      </c>
      <c r="D85" s="78">
        <v>1.85</v>
      </c>
      <c r="E85" s="80" t="s">
        <v>676</v>
      </c>
      <c r="F85" s="80">
        <v>0.69</v>
      </c>
      <c r="G85" s="80"/>
      <c r="H85" s="81" t="s">
        <v>677</v>
      </c>
      <c r="I85" s="82">
        <v>117</v>
      </c>
      <c r="J85" s="80">
        <v>115</v>
      </c>
      <c r="K85" s="80">
        <v>2</v>
      </c>
      <c r="L85" s="80" t="str">
        <f>IF(1.85*0=0," ",TEXT(,ROUND((1.85*0*1),2)))</f>
        <v> </v>
      </c>
      <c r="M85" s="80">
        <v>0.39</v>
      </c>
      <c r="N85" s="80">
        <v>0.72</v>
      </c>
    </row>
    <row r="86" spans="1:14" ht="120">
      <c r="A86" s="78">
        <v>43</v>
      </c>
      <c r="B86" s="79" t="s">
        <v>678</v>
      </c>
      <c r="C86" s="79" t="s">
        <v>679</v>
      </c>
      <c r="D86" s="78">
        <v>0.438</v>
      </c>
      <c r="E86" s="80" t="s">
        <v>680</v>
      </c>
      <c r="F86" s="80" t="s">
        <v>681</v>
      </c>
      <c r="G86" s="80">
        <v>8890.58</v>
      </c>
      <c r="H86" s="81" t="s">
        <v>682</v>
      </c>
      <c r="I86" s="82">
        <v>22368</v>
      </c>
      <c r="J86" s="80">
        <v>7962</v>
      </c>
      <c r="K86" s="80" t="s">
        <v>683</v>
      </c>
      <c r="L86" s="80" t="str">
        <f>IF(0.438*8890.58=0," ",TEXT(,ROUND((0.438*8890.58*3.66),2)))</f>
        <v>14252,31</v>
      </c>
      <c r="M86" s="80" t="s">
        <v>684</v>
      </c>
      <c r="N86" s="80" t="s">
        <v>685</v>
      </c>
    </row>
    <row r="87" spans="1:14" ht="60">
      <c r="A87" s="78">
        <v>44</v>
      </c>
      <c r="B87" s="79" t="s">
        <v>686</v>
      </c>
      <c r="C87" s="79" t="s">
        <v>687</v>
      </c>
      <c r="D87" s="78">
        <v>-0.3425</v>
      </c>
      <c r="E87" s="80">
        <v>11200</v>
      </c>
      <c r="F87" s="80"/>
      <c r="G87" s="80">
        <v>11200</v>
      </c>
      <c r="H87" s="81" t="s">
        <v>688</v>
      </c>
      <c r="I87" s="82">
        <v>-14051</v>
      </c>
      <c r="J87" s="80"/>
      <c r="K87" s="80"/>
      <c r="L87" s="80" t="str">
        <f>IF(-0.3425*11200=0," ",TEXT(,ROUND((-0.3425*11200*3.663),2)))</f>
        <v>-14051,27</v>
      </c>
      <c r="M87" s="80"/>
      <c r="N87" s="80"/>
    </row>
    <row r="88" spans="1:14" ht="84">
      <c r="A88" s="78">
        <v>45</v>
      </c>
      <c r="B88" s="79" t="s">
        <v>689</v>
      </c>
      <c r="C88" s="79" t="s">
        <v>690</v>
      </c>
      <c r="D88" s="78" t="s">
        <v>691</v>
      </c>
      <c r="E88" s="80">
        <v>11200</v>
      </c>
      <c r="F88" s="80"/>
      <c r="G88" s="80">
        <v>11200</v>
      </c>
      <c r="H88" s="81" t="s">
        <v>692</v>
      </c>
      <c r="I88" s="82">
        <v>13720</v>
      </c>
      <c r="J88" s="80"/>
      <c r="K88" s="80"/>
      <c r="L88" s="80" t="str">
        <f>IF(0.330441*11200=0," ",TEXT(,ROUND((0.330441*11200*3.707),2)))</f>
        <v>13719,38</v>
      </c>
      <c r="M88" s="80"/>
      <c r="N88" s="80"/>
    </row>
    <row r="89" spans="1:14" ht="120">
      <c r="A89" s="78">
        <v>46</v>
      </c>
      <c r="B89" s="79" t="s">
        <v>693</v>
      </c>
      <c r="C89" s="79" t="s">
        <v>694</v>
      </c>
      <c r="D89" s="78">
        <v>0.067</v>
      </c>
      <c r="E89" s="80" t="s">
        <v>695</v>
      </c>
      <c r="F89" s="80" t="s">
        <v>696</v>
      </c>
      <c r="G89" s="80">
        <v>8074.17</v>
      </c>
      <c r="H89" s="81" t="s">
        <v>697</v>
      </c>
      <c r="I89" s="82">
        <v>2845</v>
      </c>
      <c r="J89" s="80">
        <v>823</v>
      </c>
      <c r="K89" s="80">
        <v>11</v>
      </c>
      <c r="L89" s="80" t="str">
        <f>IF(0.067*8074.17=0," ",TEXT(,ROUND((0.067*8074.17*3.71),2)))</f>
        <v>2007</v>
      </c>
      <c r="M89" s="80" t="s">
        <v>698</v>
      </c>
      <c r="N89" s="80" t="s">
        <v>699</v>
      </c>
    </row>
    <row r="90" spans="1:14" ht="120">
      <c r="A90" s="78">
        <v>47</v>
      </c>
      <c r="B90" s="79" t="s">
        <v>700</v>
      </c>
      <c r="C90" s="79" t="s">
        <v>702</v>
      </c>
      <c r="D90" s="78">
        <v>0.02</v>
      </c>
      <c r="E90" s="80" t="s">
        <v>703</v>
      </c>
      <c r="F90" s="80" t="s">
        <v>704</v>
      </c>
      <c r="G90" s="80">
        <v>81.97</v>
      </c>
      <c r="H90" s="81" t="s">
        <v>705</v>
      </c>
      <c r="I90" s="82">
        <v>201</v>
      </c>
      <c r="J90" s="80">
        <v>165</v>
      </c>
      <c r="K90" s="80">
        <v>25</v>
      </c>
      <c r="L90" s="80" t="str">
        <f>IF(0.02*81.97=0," ",TEXT(,ROUND((0.02*81.97*5.35),2)))</f>
        <v>8,77</v>
      </c>
      <c r="M90" s="80" t="s">
        <v>706</v>
      </c>
      <c r="N90" s="80">
        <v>1.17</v>
      </c>
    </row>
    <row r="91" spans="1:14" ht="72">
      <c r="A91" s="78">
        <v>48</v>
      </c>
      <c r="B91" s="79" t="s">
        <v>707</v>
      </c>
      <c r="C91" s="79" t="s">
        <v>708</v>
      </c>
      <c r="D91" s="78">
        <v>0.02</v>
      </c>
      <c r="E91" s="80">
        <v>11879.76</v>
      </c>
      <c r="F91" s="80"/>
      <c r="G91" s="80">
        <v>11879.76</v>
      </c>
      <c r="H91" s="81" t="s">
        <v>709</v>
      </c>
      <c r="I91" s="82">
        <v>1368</v>
      </c>
      <c r="J91" s="80"/>
      <c r="K91" s="80"/>
      <c r="L91" s="80" t="str">
        <f>IF(0.02*11879.76=0," ",TEXT(,ROUND((0.02*11879.76*5.746),2)))</f>
        <v>1365,22</v>
      </c>
      <c r="M91" s="80"/>
      <c r="N91" s="80"/>
    </row>
    <row r="92" spans="1:14" ht="120">
      <c r="A92" s="78">
        <v>49</v>
      </c>
      <c r="B92" s="79" t="s">
        <v>710</v>
      </c>
      <c r="C92" s="79" t="s">
        <v>711</v>
      </c>
      <c r="D92" s="78">
        <v>0.234</v>
      </c>
      <c r="E92" s="80" t="s">
        <v>712</v>
      </c>
      <c r="F92" s="80" t="s">
        <v>713</v>
      </c>
      <c r="G92" s="80">
        <v>3032.91</v>
      </c>
      <c r="H92" s="81" t="s">
        <v>0</v>
      </c>
      <c r="I92" s="82">
        <v>5868</v>
      </c>
      <c r="J92" s="80">
        <v>263</v>
      </c>
      <c r="K92" s="80" t="s">
        <v>1</v>
      </c>
      <c r="L92" s="80" t="str">
        <f>IF(0.234*3032.91=0," ",TEXT(,ROUND((0.234*3032.91*7.67),2)))</f>
        <v>5443,41</v>
      </c>
      <c r="M92" s="80" t="s">
        <v>2</v>
      </c>
      <c r="N92" s="80" t="s">
        <v>3</v>
      </c>
    </row>
    <row r="93" spans="1:14" ht="108">
      <c r="A93" s="78">
        <v>50</v>
      </c>
      <c r="B93" s="79" t="s">
        <v>4</v>
      </c>
      <c r="C93" s="79" t="s">
        <v>5</v>
      </c>
      <c r="D93" s="78">
        <v>-0.0702</v>
      </c>
      <c r="E93" s="80">
        <v>10045</v>
      </c>
      <c r="F93" s="80"/>
      <c r="G93" s="80">
        <v>10045</v>
      </c>
      <c r="H93" s="81" t="s">
        <v>6</v>
      </c>
      <c r="I93" s="82">
        <v>-5422</v>
      </c>
      <c r="J93" s="80"/>
      <c r="K93" s="80"/>
      <c r="L93" s="80" t="str">
        <f>IF(-0.0702*10045=0," ",TEXT(,ROUND((-0.0702*10045*7.691),2)))</f>
        <v>-5423,38</v>
      </c>
      <c r="M93" s="80"/>
      <c r="N93" s="80"/>
    </row>
    <row r="94" spans="1:14" ht="60">
      <c r="A94" s="78">
        <v>51</v>
      </c>
      <c r="B94" s="79" t="s">
        <v>7</v>
      </c>
      <c r="C94" s="79" t="s">
        <v>8</v>
      </c>
      <c r="D94" s="78">
        <v>23.4</v>
      </c>
      <c r="E94" s="80">
        <v>12.03</v>
      </c>
      <c r="F94" s="80"/>
      <c r="G94" s="80">
        <v>12.03</v>
      </c>
      <c r="H94" s="81" t="s">
        <v>9</v>
      </c>
      <c r="I94" s="82">
        <v>1951</v>
      </c>
      <c r="J94" s="80"/>
      <c r="K94" s="80"/>
      <c r="L94" s="80" t="str">
        <f>IF(23.4*12.03=0," ",TEXT(,ROUND((23.4*12.03*6.918),2)))</f>
        <v>1947,43</v>
      </c>
      <c r="M94" s="80"/>
      <c r="N94" s="80"/>
    </row>
    <row r="95" spans="1:14" ht="120">
      <c r="A95" s="78">
        <v>52</v>
      </c>
      <c r="B95" s="79" t="s">
        <v>710</v>
      </c>
      <c r="C95" s="79" t="s">
        <v>10</v>
      </c>
      <c r="D95" s="78">
        <v>0.825</v>
      </c>
      <c r="E95" s="80" t="s">
        <v>712</v>
      </c>
      <c r="F95" s="80" t="s">
        <v>713</v>
      </c>
      <c r="G95" s="80">
        <v>3032.91</v>
      </c>
      <c r="H95" s="81" t="s">
        <v>0</v>
      </c>
      <c r="I95" s="82">
        <v>20676</v>
      </c>
      <c r="J95" s="80">
        <v>921</v>
      </c>
      <c r="K95" s="80" t="s">
        <v>11</v>
      </c>
      <c r="L95" s="80" t="str">
        <f>IF(0.825*3032.91=0," ",TEXT(,ROUND((0.825*3032.91*7.67),2)))</f>
        <v>19191,5</v>
      </c>
      <c r="M95" s="80" t="s">
        <v>2</v>
      </c>
      <c r="N95" s="80" t="s">
        <v>12</v>
      </c>
    </row>
    <row r="96" spans="1:14" ht="108">
      <c r="A96" s="78">
        <v>53</v>
      </c>
      <c r="B96" s="79" t="s">
        <v>4</v>
      </c>
      <c r="C96" s="79" t="s">
        <v>13</v>
      </c>
      <c r="D96" s="78">
        <v>0.461</v>
      </c>
      <c r="E96" s="80">
        <v>10045</v>
      </c>
      <c r="F96" s="80"/>
      <c r="G96" s="80">
        <v>10045</v>
      </c>
      <c r="H96" s="81" t="s">
        <v>6</v>
      </c>
      <c r="I96" s="82">
        <v>35617</v>
      </c>
      <c r="J96" s="80"/>
      <c r="K96" s="80"/>
      <c r="L96" s="80" t="str">
        <f>IF(0.461*10045=0," ",TEXT(,ROUND((0.461*10045*7.691),2)))</f>
        <v>35615,06</v>
      </c>
      <c r="M96" s="80"/>
      <c r="N96" s="80"/>
    </row>
    <row r="97" spans="1:14" ht="132">
      <c r="A97" s="78">
        <v>54</v>
      </c>
      <c r="B97" s="79" t="s">
        <v>14</v>
      </c>
      <c r="C97" s="79" t="s">
        <v>15</v>
      </c>
      <c r="D97" s="78">
        <v>0.01902</v>
      </c>
      <c r="E97" s="80" t="s">
        <v>16</v>
      </c>
      <c r="F97" s="80" t="s">
        <v>17</v>
      </c>
      <c r="G97" s="80">
        <v>88.5</v>
      </c>
      <c r="H97" s="81" t="s">
        <v>18</v>
      </c>
      <c r="I97" s="82">
        <v>290</v>
      </c>
      <c r="J97" s="80">
        <v>115</v>
      </c>
      <c r="K97" s="80" t="s">
        <v>19</v>
      </c>
      <c r="L97" s="80" t="str">
        <f>IF(0.01902*88.5=0," ",TEXT(,ROUND((0.01902*88.5*5.25),2)))</f>
        <v>8,84</v>
      </c>
      <c r="M97" s="80" t="s">
        <v>20</v>
      </c>
      <c r="N97" s="80" t="s">
        <v>21</v>
      </c>
    </row>
    <row r="98" spans="1:14" ht="108">
      <c r="A98" s="78">
        <v>55</v>
      </c>
      <c r="B98" s="79" t="s">
        <v>4</v>
      </c>
      <c r="C98" s="79" t="s">
        <v>5</v>
      </c>
      <c r="D98" s="78">
        <v>0.01902</v>
      </c>
      <c r="E98" s="80">
        <v>10045</v>
      </c>
      <c r="F98" s="80"/>
      <c r="G98" s="80">
        <v>10045</v>
      </c>
      <c r="H98" s="81" t="s">
        <v>6</v>
      </c>
      <c r="I98" s="82">
        <v>1469</v>
      </c>
      <c r="J98" s="80"/>
      <c r="K98" s="80"/>
      <c r="L98" s="80" t="str">
        <f>IF(0.01902*10045=0," ",TEXT(,ROUND((0.01902*10045*7.691),2)))</f>
        <v>1469,41</v>
      </c>
      <c r="M98" s="80"/>
      <c r="N98" s="80"/>
    </row>
    <row r="99" spans="1:14" ht="156">
      <c r="A99" s="78">
        <v>56</v>
      </c>
      <c r="B99" s="79" t="s">
        <v>22</v>
      </c>
      <c r="C99" s="79" t="s">
        <v>23</v>
      </c>
      <c r="D99" s="78">
        <v>0.0128</v>
      </c>
      <c r="E99" s="80" t="s">
        <v>24</v>
      </c>
      <c r="F99" s="80" t="s">
        <v>25</v>
      </c>
      <c r="G99" s="80">
        <v>562.56</v>
      </c>
      <c r="H99" s="81" t="s">
        <v>26</v>
      </c>
      <c r="I99" s="82">
        <v>51</v>
      </c>
      <c r="J99" s="80">
        <v>16</v>
      </c>
      <c r="K99" s="80"/>
      <c r="L99" s="80" t="str">
        <f>IF(0.0128*562.56=0," ",TEXT(,ROUND((0.0128*562.56*4.94),2)))</f>
        <v>35,57</v>
      </c>
      <c r="M99" s="80" t="s">
        <v>27</v>
      </c>
      <c r="N99" s="80">
        <v>0.11</v>
      </c>
    </row>
    <row r="100" spans="1:14" ht="120">
      <c r="A100" s="78">
        <v>57</v>
      </c>
      <c r="B100" s="79" t="s">
        <v>492</v>
      </c>
      <c r="C100" s="79" t="s">
        <v>28</v>
      </c>
      <c r="D100" s="78">
        <v>0.022</v>
      </c>
      <c r="E100" s="80" t="s">
        <v>570</v>
      </c>
      <c r="F100" s="80">
        <v>41.89</v>
      </c>
      <c r="G100" s="80">
        <v>2189</v>
      </c>
      <c r="H100" s="81" t="s">
        <v>495</v>
      </c>
      <c r="I100" s="82">
        <v>255</v>
      </c>
      <c r="J100" s="80">
        <v>82</v>
      </c>
      <c r="K100" s="80">
        <v>11</v>
      </c>
      <c r="L100" s="80" t="str">
        <f>IF(0.022*2189=0," ",TEXT(,ROUND((0.022*2189*3.37),2)))</f>
        <v>162,29</v>
      </c>
      <c r="M100" s="80">
        <v>25.88</v>
      </c>
      <c r="N100" s="80">
        <v>0.57</v>
      </c>
    </row>
    <row r="101" spans="1:14" ht="24">
      <c r="A101" s="91" t="s">
        <v>535</v>
      </c>
      <c r="B101" s="91"/>
      <c r="C101" s="91"/>
      <c r="D101" s="91"/>
      <c r="E101" s="91"/>
      <c r="F101" s="91"/>
      <c r="G101" s="91"/>
      <c r="H101" s="91"/>
      <c r="I101" s="82">
        <v>115236</v>
      </c>
      <c r="J101" s="80">
        <v>10006</v>
      </c>
      <c r="K101" s="80" t="s">
        <v>29</v>
      </c>
      <c r="L101" s="80">
        <v>101152</v>
      </c>
      <c r="M101" s="80"/>
      <c r="N101" s="80" t="s">
        <v>30</v>
      </c>
    </row>
    <row r="102" spans="1:14" ht="24">
      <c r="A102" s="91" t="s">
        <v>538</v>
      </c>
      <c r="B102" s="91"/>
      <c r="C102" s="91"/>
      <c r="D102" s="91"/>
      <c r="E102" s="91"/>
      <c r="F102" s="91"/>
      <c r="G102" s="91"/>
      <c r="H102" s="91"/>
      <c r="I102" s="82">
        <v>721414</v>
      </c>
      <c r="J102" s="80">
        <v>164599</v>
      </c>
      <c r="K102" s="80" t="s">
        <v>31</v>
      </c>
      <c r="L102" s="80">
        <v>511775</v>
      </c>
      <c r="M102" s="80"/>
      <c r="N102" s="80" t="s">
        <v>30</v>
      </c>
    </row>
    <row r="103" spans="1:14" ht="12">
      <c r="A103" s="91" t="s">
        <v>540</v>
      </c>
      <c r="B103" s="91"/>
      <c r="C103" s="91"/>
      <c r="D103" s="91"/>
      <c r="E103" s="91"/>
      <c r="F103" s="91"/>
      <c r="G103" s="91"/>
      <c r="H103" s="91"/>
      <c r="I103" s="82">
        <v>149183</v>
      </c>
      <c r="J103" s="80"/>
      <c r="K103" s="80"/>
      <c r="L103" s="80"/>
      <c r="M103" s="80"/>
      <c r="N103" s="80"/>
    </row>
    <row r="104" spans="1:14" ht="12">
      <c r="A104" s="91" t="s">
        <v>541</v>
      </c>
      <c r="B104" s="91"/>
      <c r="C104" s="91"/>
      <c r="D104" s="91"/>
      <c r="E104" s="91"/>
      <c r="F104" s="91"/>
      <c r="G104" s="91"/>
      <c r="H104" s="91"/>
      <c r="I104" s="82">
        <v>75504</v>
      </c>
      <c r="J104" s="80"/>
      <c r="K104" s="80"/>
      <c r="L104" s="80"/>
      <c r="M104" s="80"/>
      <c r="N104" s="80"/>
    </row>
    <row r="105" spans="1:14" ht="12">
      <c r="A105" s="89" t="s">
        <v>32</v>
      </c>
      <c r="B105" s="89"/>
      <c r="C105" s="89"/>
      <c r="D105" s="89"/>
      <c r="E105" s="89"/>
      <c r="F105" s="89"/>
      <c r="G105" s="89"/>
      <c r="H105" s="89"/>
      <c r="I105" s="82"/>
      <c r="J105" s="80"/>
      <c r="K105" s="80"/>
      <c r="L105" s="80"/>
      <c r="M105" s="80"/>
      <c r="N105" s="80"/>
    </row>
    <row r="106" spans="1:14" ht="24">
      <c r="A106" s="91" t="s">
        <v>548</v>
      </c>
      <c r="B106" s="91"/>
      <c r="C106" s="91"/>
      <c r="D106" s="91"/>
      <c r="E106" s="91"/>
      <c r="F106" s="91"/>
      <c r="G106" s="91"/>
      <c r="H106" s="91"/>
      <c r="I106" s="82">
        <v>294070</v>
      </c>
      <c r="J106" s="80"/>
      <c r="K106" s="80"/>
      <c r="L106" s="80"/>
      <c r="M106" s="80"/>
      <c r="N106" s="80" t="s">
        <v>33</v>
      </c>
    </row>
    <row r="107" spans="1:14" ht="24">
      <c r="A107" s="91" t="s">
        <v>546</v>
      </c>
      <c r="B107" s="91"/>
      <c r="C107" s="91"/>
      <c r="D107" s="91"/>
      <c r="E107" s="91"/>
      <c r="F107" s="91"/>
      <c r="G107" s="91"/>
      <c r="H107" s="91"/>
      <c r="I107" s="82">
        <v>79947</v>
      </c>
      <c r="J107" s="80"/>
      <c r="K107" s="80"/>
      <c r="L107" s="80"/>
      <c r="M107" s="80"/>
      <c r="N107" s="80" t="s">
        <v>34</v>
      </c>
    </row>
    <row r="108" spans="1:14" ht="12">
      <c r="A108" s="91" t="s">
        <v>35</v>
      </c>
      <c r="B108" s="91"/>
      <c r="C108" s="91"/>
      <c r="D108" s="91"/>
      <c r="E108" s="91"/>
      <c r="F108" s="91"/>
      <c r="G108" s="91"/>
      <c r="H108" s="91"/>
      <c r="I108" s="82">
        <v>110262</v>
      </c>
      <c r="J108" s="80"/>
      <c r="K108" s="80"/>
      <c r="L108" s="80"/>
      <c r="M108" s="80"/>
      <c r="N108" s="80"/>
    </row>
    <row r="109" spans="1:14" ht="24" customHeight="1">
      <c r="A109" s="91" t="s">
        <v>36</v>
      </c>
      <c r="B109" s="91"/>
      <c r="C109" s="91"/>
      <c r="D109" s="91"/>
      <c r="E109" s="91"/>
      <c r="F109" s="91"/>
      <c r="G109" s="91"/>
      <c r="H109" s="91"/>
      <c r="I109" s="82">
        <v>962</v>
      </c>
      <c r="J109" s="80"/>
      <c r="K109" s="80"/>
      <c r="L109" s="80"/>
      <c r="M109" s="80"/>
      <c r="N109" s="80"/>
    </row>
    <row r="110" spans="1:14" ht="24">
      <c r="A110" s="91" t="s">
        <v>37</v>
      </c>
      <c r="B110" s="91"/>
      <c r="C110" s="91"/>
      <c r="D110" s="91"/>
      <c r="E110" s="91"/>
      <c r="F110" s="91"/>
      <c r="G110" s="91"/>
      <c r="H110" s="91"/>
      <c r="I110" s="82">
        <v>125252</v>
      </c>
      <c r="J110" s="80"/>
      <c r="K110" s="80"/>
      <c r="L110" s="80"/>
      <c r="M110" s="80"/>
      <c r="N110" s="80" t="s">
        <v>632</v>
      </c>
    </row>
    <row r="111" spans="1:14" ht="12">
      <c r="A111" s="91" t="s">
        <v>38</v>
      </c>
      <c r="B111" s="91"/>
      <c r="C111" s="91"/>
      <c r="D111" s="91"/>
      <c r="E111" s="91"/>
      <c r="F111" s="91"/>
      <c r="G111" s="91"/>
      <c r="H111" s="91"/>
      <c r="I111" s="82">
        <v>7938</v>
      </c>
      <c r="J111" s="80"/>
      <c r="K111" s="80"/>
      <c r="L111" s="80"/>
      <c r="M111" s="80"/>
      <c r="N111" s="80">
        <v>14.92</v>
      </c>
    </row>
    <row r="112" spans="1:14" ht="24">
      <c r="A112" s="91" t="s">
        <v>39</v>
      </c>
      <c r="B112" s="91"/>
      <c r="C112" s="91"/>
      <c r="D112" s="91"/>
      <c r="E112" s="91"/>
      <c r="F112" s="91"/>
      <c r="G112" s="91"/>
      <c r="H112" s="91"/>
      <c r="I112" s="82">
        <v>326431</v>
      </c>
      <c r="J112" s="80"/>
      <c r="K112" s="80"/>
      <c r="L112" s="80"/>
      <c r="M112" s="80"/>
      <c r="N112" s="80" t="s">
        <v>40</v>
      </c>
    </row>
    <row r="113" spans="1:14" ht="24">
      <c r="A113" s="91" t="s">
        <v>41</v>
      </c>
      <c r="B113" s="91"/>
      <c r="C113" s="91"/>
      <c r="D113" s="91"/>
      <c r="E113" s="91"/>
      <c r="F113" s="91"/>
      <c r="G113" s="91"/>
      <c r="H113" s="91"/>
      <c r="I113" s="82">
        <v>1168</v>
      </c>
      <c r="J113" s="80"/>
      <c r="K113" s="80"/>
      <c r="L113" s="80"/>
      <c r="M113" s="80"/>
      <c r="N113" s="80" t="s">
        <v>42</v>
      </c>
    </row>
    <row r="114" spans="1:14" ht="12">
      <c r="A114" s="91" t="s">
        <v>43</v>
      </c>
      <c r="B114" s="91"/>
      <c r="C114" s="91"/>
      <c r="D114" s="91"/>
      <c r="E114" s="91"/>
      <c r="F114" s="91"/>
      <c r="G114" s="91"/>
      <c r="H114" s="91"/>
      <c r="I114" s="82">
        <v>71</v>
      </c>
      <c r="J114" s="80"/>
      <c r="K114" s="80"/>
      <c r="L114" s="80"/>
      <c r="M114" s="80"/>
      <c r="N114" s="80">
        <v>0.11</v>
      </c>
    </row>
    <row r="115" spans="1:14" ht="24">
      <c r="A115" s="91" t="s">
        <v>553</v>
      </c>
      <c r="B115" s="91"/>
      <c r="C115" s="91"/>
      <c r="D115" s="91"/>
      <c r="E115" s="91"/>
      <c r="F115" s="91"/>
      <c r="G115" s="91"/>
      <c r="H115" s="91"/>
      <c r="I115" s="82">
        <v>946101</v>
      </c>
      <c r="J115" s="80"/>
      <c r="K115" s="80"/>
      <c r="L115" s="80"/>
      <c r="M115" s="80"/>
      <c r="N115" s="80" t="s">
        <v>30</v>
      </c>
    </row>
    <row r="116" spans="1:14" ht="12">
      <c r="A116" s="91" t="s">
        <v>554</v>
      </c>
      <c r="B116" s="91"/>
      <c r="C116" s="91"/>
      <c r="D116" s="91"/>
      <c r="E116" s="91"/>
      <c r="F116" s="91"/>
      <c r="G116" s="91"/>
      <c r="H116" s="91"/>
      <c r="I116" s="82"/>
      <c r="J116" s="80"/>
      <c r="K116" s="80"/>
      <c r="L116" s="80"/>
      <c r="M116" s="80"/>
      <c r="N116" s="80"/>
    </row>
    <row r="117" spans="1:14" ht="12">
      <c r="A117" s="91" t="s">
        <v>555</v>
      </c>
      <c r="B117" s="91"/>
      <c r="C117" s="91"/>
      <c r="D117" s="91"/>
      <c r="E117" s="91"/>
      <c r="F117" s="91"/>
      <c r="G117" s="91"/>
      <c r="H117" s="91"/>
      <c r="I117" s="82">
        <v>511775</v>
      </c>
      <c r="J117" s="80"/>
      <c r="K117" s="80"/>
      <c r="L117" s="80"/>
      <c r="M117" s="80"/>
      <c r="N117" s="80"/>
    </row>
    <row r="118" spans="1:14" ht="12">
      <c r="A118" s="91" t="s">
        <v>556</v>
      </c>
      <c r="B118" s="91"/>
      <c r="C118" s="91"/>
      <c r="D118" s="91"/>
      <c r="E118" s="91"/>
      <c r="F118" s="91"/>
      <c r="G118" s="91"/>
      <c r="H118" s="91"/>
      <c r="I118" s="82">
        <v>45040</v>
      </c>
      <c r="J118" s="80"/>
      <c r="K118" s="80"/>
      <c r="L118" s="80"/>
      <c r="M118" s="80"/>
      <c r="N118" s="80"/>
    </row>
    <row r="119" spans="1:14" ht="12">
      <c r="A119" s="91" t="s">
        <v>557</v>
      </c>
      <c r="B119" s="91"/>
      <c r="C119" s="91"/>
      <c r="D119" s="91"/>
      <c r="E119" s="91"/>
      <c r="F119" s="91"/>
      <c r="G119" s="91"/>
      <c r="H119" s="91"/>
      <c r="I119" s="82">
        <v>166886</v>
      </c>
      <c r="J119" s="80"/>
      <c r="K119" s="80"/>
      <c r="L119" s="80"/>
      <c r="M119" s="80"/>
      <c r="N119" s="80"/>
    </row>
    <row r="120" spans="1:14" ht="12">
      <c r="A120" s="91" t="s">
        <v>558</v>
      </c>
      <c r="B120" s="91"/>
      <c r="C120" s="91"/>
      <c r="D120" s="91"/>
      <c r="E120" s="91"/>
      <c r="F120" s="91"/>
      <c r="G120" s="91"/>
      <c r="H120" s="91"/>
      <c r="I120" s="82">
        <v>149183</v>
      </c>
      <c r="J120" s="80"/>
      <c r="K120" s="80"/>
      <c r="L120" s="80"/>
      <c r="M120" s="80"/>
      <c r="N120" s="80"/>
    </row>
    <row r="121" spans="1:14" ht="12">
      <c r="A121" s="91" t="s">
        <v>559</v>
      </c>
      <c r="B121" s="91"/>
      <c r="C121" s="91"/>
      <c r="D121" s="91"/>
      <c r="E121" s="91"/>
      <c r="F121" s="91"/>
      <c r="G121" s="91"/>
      <c r="H121" s="91"/>
      <c r="I121" s="82">
        <v>75504</v>
      </c>
      <c r="J121" s="80"/>
      <c r="K121" s="80"/>
      <c r="L121" s="80"/>
      <c r="M121" s="80"/>
      <c r="N121" s="80"/>
    </row>
    <row r="122" spans="1:14" ht="24">
      <c r="A122" s="89" t="s">
        <v>44</v>
      </c>
      <c r="B122" s="89"/>
      <c r="C122" s="89"/>
      <c r="D122" s="89"/>
      <c r="E122" s="89"/>
      <c r="F122" s="89"/>
      <c r="G122" s="89"/>
      <c r="H122" s="89"/>
      <c r="I122" s="82">
        <v>946101</v>
      </c>
      <c r="J122" s="80"/>
      <c r="K122" s="80"/>
      <c r="L122" s="80"/>
      <c r="M122" s="80"/>
      <c r="N122" s="80" t="s">
        <v>30</v>
      </c>
    </row>
    <row r="123" spans="1:14" ht="17.25" customHeight="1">
      <c r="A123" s="89" t="s">
        <v>45</v>
      </c>
      <c r="B123" s="89"/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</row>
    <row r="124" spans="1:14" ht="72">
      <c r="A124" s="78">
        <v>58</v>
      </c>
      <c r="B124" s="79" t="s">
        <v>642</v>
      </c>
      <c r="C124" s="79" t="s">
        <v>46</v>
      </c>
      <c r="D124" s="78" t="s">
        <v>47</v>
      </c>
      <c r="E124" s="80" t="s">
        <v>644</v>
      </c>
      <c r="F124" s="80">
        <v>5.23</v>
      </c>
      <c r="G124" s="80">
        <v>883.33</v>
      </c>
      <c r="H124" s="81" t="s">
        <v>645</v>
      </c>
      <c r="I124" s="82">
        <v>26452</v>
      </c>
      <c r="J124" s="80">
        <v>3109</v>
      </c>
      <c r="K124" s="80">
        <v>308</v>
      </c>
      <c r="L124" s="80" t="str">
        <f>IF(5.215*883.33=0," ",TEXT(,ROUND((5.215*883.33*5),2)))</f>
        <v>23032,83</v>
      </c>
      <c r="M124" s="80">
        <v>4.52</v>
      </c>
      <c r="N124" s="80">
        <v>23.57</v>
      </c>
    </row>
    <row r="125" spans="1:14" ht="60">
      <c r="A125" s="78">
        <v>59</v>
      </c>
      <c r="B125" s="79" t="s">
        <v>646</v>
      </c>
      <c r="C125" s="79" t="s">
        <v>647</v>
      </c>
      <c r="D125" s="78">
        <v>-599.7</v>
      </c>
      <c r="E125" s="80">
        <v>7.46</v>
      </c>
      <c r="F125" s="80"/>
      <c r="G125" s="80">
        <v>7.46</v>
      </c>
      <c r="H125" s="81" t="s">
        <v>648</v>
      </c>
      <c r="I125" s="82">
        <v>-22366</v>
      </c>
      <c r="J125" s="80"/>
      <c r="K125" s="80"/>
      <c r="L125" s="80" t="str">
        <f>IF(-599.7*7.46=0," ",TEXT(,ROUND((-599.7*7.46*4.999),2)))</f>
        <v>-22364,34</v>
      </c>
      <c r="M125" s="80"/>
      <c r="N125" s="80"/>
    </row>
    <row r="126" spans="1:14" ht="60">
      <c r="A126" s="78">
        <v>60</v>
      </c>
      <c r="B126" s="79" t="s">
        <v>48</v>
      </c>
      <c r="C126" s="79" t="s">
        <v>49</v>
      </c>
      <c r="D126" s="78" t="s">
        <v>50</v>
      </c>
      <c r="E126" s="80">
        <v>27.5</v>
      </c>
      <c r="F126" s="80"/>
      <c r="G126" s="80">
        <v>27.5</v>
      </c>
      <c r="H126" s="81" t="s">
        <v>51</v>
      </c>
      <c r="I126" s="82">
        <v>4648</v>
      </c>
      <c r="J126" s="80"/>
      <c r="K126" s="80"/>
      <c r="L126" s="80" t="str">
        <f>IF(34.155*27.5=0," ",TEXT(,ROUND((34.155*27.5*4.95),2)))</f>
        <v>4649,35</v>
      </c>
      <c r="M126" s="80"/>
      <c r="N126" s="80"/>
    </row>
    <row r="127" spans="1:14" ht="60">
      <c r="A127" s="78">
        <v>61</v>
      </c>
      <c r="B127" s="79" t="s">
        <v>52</v>
      </c>
      <c r="C127" s="79" t="s">
        <v>53</v>
      </c>
      <c r="D127" s="78" t="s">
        <v>54</v>
      </c>
      <c r="E127" s="80">
        <v>39.2</v>
      </c>
      <c r="F127" s="80"/>
      <c r="G127" s="80">
        <v>39.2</v>
      </c>
      <c r="H127" s="81" t="s">
        <v>55</v>
      </c>
      <c r="I127" s="82">
        <v>5020</v>
      </c>
      <c r="J127" s="80"/>
      <c r="K127" s="80"/>
      <c r="L127" s="80" t="str">
        <f>IF(25.8175*39.2=0," ",TEXT(,ROUND((25.8175*39.2*4.96),2)))</f>
        <v>5019,75</v>
      </c>
      <c r="M127" s="80"/>
      <c r="N127" s="80"/>
    </row>
    <row r="128" spans="1:14" ht="156">
      <c r="A128" s="78">
        <v>62</v>
      </c>
      <c r="B128" s="79" t="s">
        <v>56</v>
      </c>
      <c r="C128" s="79" t="s">
        <v>57</v>
      </c>
      <c r="D128" s="78">
        <v>2.245</v>
      </c>
      <c r="E128" s="80" t="s">
        <v>58</v>
      </c>
      <c r="F128" s="80" t="s">
        <v>59</v>
      </c>
      <c r="G128" s="80"/>
      <c r="H128" s="81" t="s">
        <v>60</v>
      </c>
      <c r="I128" s="82">
        <v>21734</v>
      </c>
      <c r="J128" s="80">
        <v>18391</v>
      </c>
      <c r="K128" s="80" t="s">
        <v>61</v>
      </c>
      <c r="L128" s="80" t="str">
        <f>IF(2.245*0=0," ",TEXT(,ROUND((2.245*0*6.8),2)))</f>
        <v> </v>
      </c>
      <c r="M128" s="80" t="s">
        <v>62</v>
      </c>
      <c r="N128" s="80" t="s">
        <v>63</v>
      </c>
    </row>
    <row r="129" spans="1:14" ht="168">
      <c r="A129" s="78">
        <v>63</v>
      </c>
      <c r="B129" s="79" t="s">
        <v>64</v>
      </c>
      <c r="C129" s="79" t="s">
        <v>65</v>
      </c>
      <c r="D129" s="78">
        <v>2.245</v>
      </c>
      <c r="E129" s="80" t="s">
        <v>66</v>
      </c>
      <c r="F129" s="80" t="s">
        <v>67</v>
      </c>
      <c r="G129" s="80"/>
      <c r="H129" s="81" t="s">
        <v>60</v>
      </c>
      <c r="I129" s="82">
        <v>34888</v>
      </c>
      <c r="J129" s="80">
        <v>28491</v>
      </c>
      <c r="K129" s="80" t="s">
        <v>68</v>
      </c>
      <c r="L129" s="80" t="str">
        <f>IF(2.245*0=0," ",TEXT(,ROUND((2.245*0*6.8),2)))</f>
        <v> </v>
      </c>
      <c r="M129" s="80" t="s">
        <v>69</v>
      </c>
      <c r="N129" s="80" t="s">
        <v>70</v>
      </c>
    </row>
    <row r="130" spans="1:14" ht="144">
      <c r="A130" s="78">
        <v>64</v>
      </c>
      <c r="B130" s="79" t="s">
        <v>71</v>
      </c>
      <c r="C130" s="79" t="s">
        <v>72</v>
      </c>
      <c r="D130" s="78">
        <v>0.814</v>
      </c>
      <c r="E130" s="80" t="s">
        <v>73</v>
      </c>
      <c r="F130" s="80" t="s">
        <v>67</v>
      </c>
      <c r="G130" s="80">
        <v>7913.58</v>
      </c>
      <c r="H130" s="81" t="s">
        <v>60</v>
      </c>
      <c r="I130" s="82">
        <v>56455</v>
      </c>
      <c r="J130" s="80">
        <v>10331</v>
      </c>
      <c r="K130" s="80" t="s">
        <v>74</v>
      </c>
      <c r="L130" s="80" t="str">
        <f>IF(0.814*7913.58=0," ",TEXT(,ROUND((0.814*7913.58*6.8),2)))</f>
        <v>43803,25</v>
      </c>
      <c r="M130" s="80" t="s">
        <v>69</v>
      </c>
      <c r="N130" s="80" t="s">
        <v>75</v>
      </c>
    </row>
    <row r="131" spans="1:14" ht="48">
      <c r="A131" s="78">
        <v>65</v>
      </c>
      <c r="B131" s="79" t="s">
        <v>76</v>
      </c>
      <c r="C131" s="79" t="s">
        <v>77</v>
      </c>
      <c r="D131" s="78">
        <v>66.198</v>
      </c>
      <c r="E131" s="80">
        <v>693.24</v>
      </c>
      <c r="F131" s="80"/>
      <c r="G131" s="80">
        <v>693.24</v>
      </c>
      <c r="H131" s="81" t="s">
        <v>78</v>
      </c>
      <c r="I131" s="82">
        <v>256072</v>
      </c>
      <c r="J131" s="80"/>
      <c r="K131" s="80"/>
      <c r="L131" s="80" t="str">
        <f>IF(66.198*693.24=0," ",TEXT(,ROUND((66.198*693.24*5.58),2)))</f>
        <v>256072,35</v>
      </c>
      <c r="M131" s="80"/>
      <c r="N131" s="80"/>
    </row>
    <row r="132" spans="1:14" ht="108">
      <c r="A132" s="78">
        <v>66</v>
      </c>
      <c r="B132" s="79" t="s">
        <v>79</v>
      </c>
      <c r="C132" s="79" t="s">
        <v>80</v>
      </c>
      <c r="D132" s="78">
        <v>0.49</v>
      </c>
      <c r="E132" s="80" t="s">
        <v>81</v>
      </c>
      <c r="F132" s="80" t="s">
        <v>82</v>
      </c>
      <c r="G132" s="80">
        <v>1007.15</v>
      </c>
      <c r="H132" s="81" t="s">
        <v>83</v>
      </c>
      <c r="I132" s="82">
        <v>3016</v>
      </c>
      <c r="J132" s="80">
        <v>296</v>
      </c>
      <c r="K132" s="80" t="s">
        <v>84</v>
      </c>
      <c r="L132" s="80" t="str">
        <f>IF(0.49*1007.15=0," ",TEXT(,ROUND((0.49*1007.15*5.34),2)))</f>
        <v>2635,31</v>
      </c>
      <c r="M132" s="80" t="s">
        <v>85</v>
      </c>
      <c r="N132" s="80" t="s">
        <v>86</v>
      </c>
    </row>
    <row r="133" spans="1:14" ht="180">
      <c r="A133" s="78">
        <v>67</v>
      </c>
      <c r="B133" s="79" t="s">
        <v>625</v>
      </c>
      <c r="C133" s="79" t="s">
        <v>626</v>
      </c>
      <c r="D133" s="78">
        <v>3.483</v>
      </c>
      <c r="E133" s="80" t="s">
        <v>627</v>
      </c>
      <c r="F133" s="80" t="s">
        <v>628</v>
      </c>
      <c r="G133" s="80">
        <v>1.84</v>
      </c>
      <c r="H133" s="81" t="s">
        <v>629</v>
      </c>
      <c r="I133" s="82">
        <v>13788</v>
      </c>
      <c r="J133" s="80">
        <v>8093</v>
      </c>
      <c r="K133" s="80" t="s">
        <v>87</v>
      </c>
      <c r="L133" s="80" t="str">
        <f>IF(3.483*1.84=0," ",TEXT(,ROUND((3.483*1.84*19.16),2)))</f>
        <v>122,79</v>
      </c>
      <c r="M133" s="80" t="s">
        <v>631</v>
      </c>
      <c r="N133" s="80" t="s">
        <v>88</v>
      </c>
    </row>
    <row r="134" spans="1:14" ht="60">
      <c r="A134" s="78">
        <v>68</v>
      </c>
      <c r="B134" s="79" t="s">
        <v>633</v>
      </c>
      <c r="C134" s="79" t="s">
        <v>89</v>
      </c>
      <c r="D134" s="78" t="s">
        <v>90</v>
      </c>
      <c r="E134" s="80">
        <v>18.53</v>
      </c>
      <c r="F134" s="80"/>
      <c r="G134" s="80">
        <v>18.53</v>
      </c>
      <c r="H134" s="81" t="s">
        <v>636</v>
      </c>
      <c r="I134" s="82">
        <v>23677</v>
      </c>
      <c r="J134" s="80"/>
      <c r="K134" s="80"/>
      <c r="L134" s="80" t="str">
        <f>IF(104.49*18.53=0," ",TEXT(,ROUND((104.49*18.53*12.23),2)))</f>
        <v>23679,72</v>
      </c>
      <c r="M134" s="80"/>
      <c r="N134" s="80"/>
    </row>
    <row r="135" spans="1:14" ht="132">
      <c r="A135" s="78">
        <v>69</v>
      </c>
      <c r="B135" s="79" t="s">
        <v>513</v>
      </c>
      <c r="C135" s="79" t="s">
        <v>91</v>
      </c>
      <c r="D135" s="78">
        <v>0.016</v>
      </c>
      <c r="E135" s="80" t="s">
        <v>92</v>
      </c>
      <c r="F135" s="80" t="s">
        <v>93</v>
      </c>
      <c r="G135" s="80">
        <v>50060.29</v>
      </c>
      <c r="H135" s="81" t="s">
        <v>517</v>
      </c>
      <c r="I135" s="82">
        <v>7095</v>
      </c>
      <c r="J135" s="80">
        <v>313</v>
      </c>
      <c r="K135" s="80" t="s">
        <v>94</v>
      </c>
      <c r="L135" s="80" t="str">
        <f>IF(0.016*50060.29=0," ",TEXT(,ROUND((0.016*50060.29*8.17),2)))</f>
        <v>6543,88</v>
      </c>
      <c r="M135" s="80" t="s">
        <v>95</v>
      </c>
      <c r="N135" s="80" t="s">
        <v>96</v>
      </c>
    </row>
    <row r="136" spans="1:14" ht="108">
      <c r="A136" s="78">
        <v>70</v>
      </c>
      <c r="B136" s="79" t="s">
        <v>97</v>
      </c>
      <c r="C136" s="79" t="s">
        <v>98</v>
      </c>
      <c r="D136" s="78">
        <v>-1.6</v>
      </c>
      <c r="E136" s="80">
        <v>484</v>
      </c>
      <c r="F136" s="80"/>
      <c r="G136" s="80">
        <v>484</v>
      </c>
      <c r="H136" s="81" t="s">
        <v>99</v>
      </c>
      <c r="I136" s="82">
        <v>-6396</v>
      </c>
      <c r="J136" s="80"/>
      <c r="K136" s="80"/>
      <c r="L136" s="80" t="str">
        <f>IF(-1.6*484=0," ",TEXT(,ROUND((-1.6*484*8.263),2)))</f>
        <v>-6398,87</v>
      </c>
      <c r="M136" s="80"/>
      <c r="N136" s="80"/>
    </row>
    <row r="137" spans="1:14" ht="120">
      <c r="A137" s="78">
        <v>71</v>
      </c>
      <c r="B137" s="79" t="s">
        <v>100</v>
      </c>
      <c r="C137" s="79" t="s">
        <v>101</v>
      </c>
      <c r="D137" s="78">
        <v>1.6</v>
      </c>
      <c r="E137" s="80">
        <v>546.92</v>
      </c>
      <c r="F137" s="80"/>
      <c r="G137" s="80">
        <v>546.92</v>
      </c>
      <c r="H137" s="81" t="s">
        <v>102</v>
      </c>
      <c r="I137" s="82">
        <v>6180</v>
      </c>
      <c r="J137" s="80"/>
      <c r="K137" s="80"/>
      <c r="L137" s="80" t="str">
        <f>IF(1.6*546.92=0," ",TEXT(,ROUND((1.6*546.92*7.063),2)))</f>
        <v>6180,63</v>
      </c>
      <c r="M137" s="80"/>
      <c r="N137" s="80"/>
    </row>
    <row r="138" spans="1:14" ht="24">
      <c r="A138" s="91" t="s">
        <v>535</v>
      </c>
      <c r="B138" s="91"/>
      <c r="C138" s="91"/>
      <c r="D138" s="91"/>
      <c r="E138" s="91"/>
      <c r="F138" s="91"/>
      <c r="G138" s="91"/>
      <c r="H138" s="91"/>
      <c r="I138" s="82">
        <v>63843</v>
      </c>
      <c r="J138" s="80">
        <v>4196</v>
      </c>
      <c r="K138" s="80" t="s">
        <v>103</v>
      </c>
      <c r="L138" s="80">
        <v>57753</v>
      </c>
      <c r="M138" s="80"/>
      <c r="N138" s="80" t="s">
        <v>104</v>
      </c>
    </row>
    <row r="139" spans="1:14" ht="24">
      <c r="A139" s="91" t="s">
        <v>538</v>
      </c>
      <c r="B139" s="91"/>
      <c r="C139" s="91"/>
      <c r="D139" s="91"/>
      <c r="E139" s="91"/>
      <c r="F139" s="91"/>
      <c r="G139" s="91"/>
      <c r="H139" s="91"/>
      <c r="I139" s="82">
        <v>430263</v>
      </c>
      <c r="J139" s="80">
        <v>69024</v>
      </c>
      <c r="K139" s="80" t="s">
        <v>105</v>
      </c>
      <c r="L139" s="80">
        <v>342961</v>
      </c>
      <c r="M139" s="80"/>
      <c r="N139" s="80" t="s">
        <v>104</v>
      </c>
    </row>
    <row r="140" spans="1:14" ht="12">
      <c r="A140" s="91" t="s">
        <v>540</v>
      </c>
      <c r="B140" s="91"/>
      <c r="C140" s="91"/>
      <c r="D140" s="91"/>
      <c r="E140" s="91"/>
      <c r="F140" s="91"/>
      <c r="G140" s="91"/>
      <c r="H140" s="91"/>
      <c r="I140" s="82">
        <v>65663</v>
      </c>
      <c r="J140" s="80"/>
      <c r="K140" s="80"/>
      <c r="L140" s="80"/>
      <c r="M140" s="80"/>
      <c r="N140" s="80"/>
    </row>
    <row r="141" spans="1:14" ht="12">
      <c r="A141" s="91" t="s">
        <v>541</v>
      </c>
      <c r="B141" s="91"/>
      <c r="C141" s="91"/>
      <c r="D141" s="91"/>
      <c r="E141" s="91"/>
      <c r="F141" s="91"/>
      <c r="G141" s="91"/>
      <c r="H141" s="91"/>
      <c r="I141" s="82">
        <v>31585</v>
      </c>
      <c r="J141" s="80"/>
      <c r="K141" s="80"/>
      <c r="L141" s="80"/>
      <c r="M141" s="80"/>
      <c r="N141" s="80"/>
    </row>
    <row r="142" spans="1:14" ht="12">
      <c r="A142" s="89" t="s">
        <v>106</v>
      </c>
      <c r="B142" s="89"/>
      <c r="C142" s="89"/>
      <c r="D142" s="89"/>
      <c r="E142" s="89"/>
      <c r="F142" s="89"/>
      <c r="G142" s="89"/>
      <c r="H142" s="89"/>
      <c r="I142" s="82"/>
      <c r="J142" s="80"/>
      <c r="K142" s="80"/>
      <c r="L142" s="80"/>
      <c r="M142" s="80"/>
      <c r="N142" s="80"/>
    </row>
    <row r="143" spans="1:14" ht="12">
      <c r="A143" s="91" t="s">
        <v>546</v>
      </c>
      <c r="B143" s="91"/>
      <c r="C143" s="91"/>
      <c r="D143" s="91"/>
      <c r="E143" s="91"/>
      <c r="F143" s="91"/>
      <c r="G143" s="91"/>
      <c r="H143" s="91"/>
      <c r="I143" s="82">
        <v>30370</v>
      </c>
      <c r="J143" s="80"/>
      <c r="K143" s="80"/>
      <c r="L143" s="80"/>
      <c r="M143" s="80"/>
      <c r="N143" s="80">
        <v>23.57</v>
      </c>
    </row>
    <row r="144" spans="1:14" ht="12">
      <c r="A144" s="91" t="s">
        <v>35</v>
      </c>
      <c r="B144" s="91"/>
      <c r="C144" s="91"/>
      <c r="D144" s="91"/>
      <c r="E144" s="91"/>
      <c r="F144" s="91"/>
      <c r="G144" s="91"/>
      <c r="H144" s="91"/>
      <c r="I144" s="82">
        <v>266835</v>
      </c>
      <c r="J144" s="80"/>
      <c r="K144" s="80"/>
      <c r="L144" s="80"/>
      <c r="M144" s="80"/>
      <c r="N144" s="80"/>
    </row>
    <row r="145" spans="1:14" ht="24">
      <c r="A145" s="91" t="s">
        <v>39</v>
      </c>
      <c r="B145" s="91"/>
      <c r="C145" s="91"/>
      <c r="D145" s="91"/>
      <c r="E145" s="91"/>
      <c r="F145" s="91"/>
      <c r="G145" s="91"/>
      <c r="H145" s="91"/>
      <c r="I145" s="82">
        <v>194971</v>
      </c>
      <c r="J145" s="80"/>
      <c r="K145" s="80"/>
      <c r="L145" s="80"/>
      <c r="M145" s="80"/>
      <c r="N145" s="80" t="s">
        <v>107</v>
      </c>
    </row>
    <row r="146" spans="1:14" ht="24">
      <c r="A146" s="91" t="s">
        <v>548</v>
      </c>
      <c r="B146" s="91"/>
      <c r="C146" s="91"/>
      <c r="D146" s="91"/>
      <c r="E146" s="91"/>
      <c r="F146" s="91"/>
      <c r="G146" s="91"/>
      <c r="H146" s="91"/>
      <c r="I146" s="82">
        <v>11041</v>
      </c>
      <c r="J146" s="80"/>
      <c r="K146" s="80"/>
      <c r="L146" s="80"/>
      <c r="M146" s="80"/>
      <c r="N146" s="80" t="s">
        <v>108</v>
      </c>
    </row>
    <row r="147" spans="1:14" ht="24">
      <c r="A147" s="91" t="s">
        <v>37</v>
      </c>
      <c r="B147" s="91"/>
      <c r="C147" s="91"/>
      <c r="D147" s="91"/>
      <c r="E147" s="91"/>
      <c r="F147" s="91"/>
      <c r="G147" s="91"/>
      <c r="H147" s="91"/>
      <c r="I147" s="82">
        <v>24294</v>
      </c>
      <c r="J147" s="80"/>
      <c r="K147" s="80"/>
      <c r="L147" s="80"/>
      <c r="M147" s="80"/>
      <c r="N147" s="80" t="s">
        <v>88</v>
      </c>
    </row>
    <row r="148" spans="1:14" ht="24">
      <c r="A148" s="91" t="s">
        <v>553</v>
      </c>
      <c r="B148" s="91"/>
      <c r="C148" s="91"/>
      <c r="D148" s="91"/>
      <c r="E148" s="91"/>
      <c r="F148" s="91"/>
      <c r="G148" s="91"/>
      <c r="H148" s="91"/>
      <c r="I148" s="82">
        <v>527511</v>
      </c>
      <c r="J148" s="80"/>
      <c r="K148" s="80"/>
      <c r="L148" s="80"/>
      <c r="M148" s="80"/>
      <c r="N148" s="80" t="s">
        <v>104</v>
      </c>
    </row>
    <row r="149" spans="1:14" ht="12">
      <c r="A149" s="91" t="s">
        <v>554</v>
      </c>
      <c r="B149" s="91"/>
      <c r="C149" s="91"/>
      <c r="D149" s="91"/>
      <c r="E149" s="91"/>
      <c r="F149" s="91"/>
      <c r="G149" s="91"/>
      <c r="H149" s="91"/>
      <c r="I149" s="82"/>
      <c r="J149" s="80"/>
      <c r="K149" s="80"/>
      <c r="L149" s="80"/>
      <c r="M149" s="80"/>
      <c r="N149" s="80"/>
    </row>
    <row r="150" spans="1:14" ht="12">
      <c r="A150" s="91" t="s">
        <v>555</v>
      </c>
      <c r="B150" s="91"/>
      <c r="C150" s="91"/>
      <c r="D150" s="91"/>
      <c r="E150" s="91"/>
      <c r="F150" s="91"/>
      <c r="G150" s="91"/>
      <c r="H150" s="91"/>
      <c r="I150" s="82">
        <v>342961</v>
      </c>
      <c r="J150" s="80"/>
      <c r="K150" s="80"/>
      <c r="L150" s="80"/>
      <c r="M150" s="80"/>
      <c r="N150" s="80"/>
    </row>
    <row r="151" spans="1:14" ht="12">
      <c r="A151" s="91" t="s">
        <v>556</v>
      </c>
      <c r="B151" s="91"/>
      <c r="C151" s="91"/>
      <c r="D151" s="91"/>
      <c r="E151" s="91"/>
      <c r="F151" s="91"/>
      <c r="G151" s="91"/>
      <c r="H151" s="91"/>
      <c r="I151" s="82">
        <v>18278</v>
      </c>
      <c r="J151" s="80"/>
      <c r="K151" s="80"/>
      <c r="L151" s="80"/>
      <c r="M151" s="80"/>
      <c r="N151" s="80"/>
    </row>
    <row r="152" spans="1:14" ht="12">
      <c r="A152" s="91" t="s">
        <v>557</v>
      </c>
      <c r="B152" s="91"/>
      <c r="C152" s="91"/>
      <c r="D152" s="91"/>
      <c r="E152" s="91"/>
      <c r="F152" s="91"/>
      <c r="G152" s="91"/>
      <c r="H152" s="91"/>
      <c r="I152" s="82">
        <v>70487</v>
      </c>
      <c r="J152" s="80"/>
      <c r="K152" s="80"/>
      <c r="L152" s="80"/>
      <c r="M152" s="80"/>
      <c r="N152" s="80"/>
    </row>
    <row r="153" spans="1:14" ht="12">
      <c r="A153" s="91" t="s">
        <v>558</v>
      </c>
      <c r="B153" s="91"/>
      <c r="C153" s="91"/>
      <c r="D153" s="91"/>
      <c r="E153" s="91"/>
      <c r="F153" s="91"/>
      <c r="G153" s="91"/>
      <c r="H153" s="91"/>
      <c r="I153" s="82">
        <v>65663</v>
      </c>
      <c r="J153" s="80"/>
      <c r="K153" s="80"/>
      <c r="L153" s="80"/>
      <c r="M153" s="80"/>
      <c r="N153" s="80"/>
    </row>
    <row r="154" spans="1:14" ht="12">
      <c r="A154" s="91" t="s">
        <v>559</v>
      </c>
      <c r="B154" s="91"/>
      <c r="C154" s="91"/>
      <c r="D154" s="91"/>
      <c r="E154" s="91"/>
      <c r="F154" s="91"/>
      <c r="G154" s="91"/>
      <c r="H154" s="91"/>
      <c r="I154" s="82">
        <v>31585</v>
      </c>
      <c r="J154" s="80"/>
      <c r="K154" s="80"/>
      <c r="L154" s="80"/>
      <c r="M154" s="80"/>
      <c r="N154" s="80"/>
    </row>
    <row r="155" spans="1:14" ht="24">
      <c r="A155" s="89" t="s">
        <v>109</v>
      </c>
      <c r="B155" s="89"/>
      <c r="C155" s="89"/>
      <c r="D155" s="89"/>
      <c r="E155" s="89"/>
      <c r="F155" s="89"/>
      <c r="G155" s="89"/>
      <c r="H155" s="89"/>
      <c r="I155" s="82">
        <v>527511</v>
      </c>
      <c r="J155" s="80"/>
      <c r="K155" s="80"/>
      <c r="L155" s="80"/>
      <c r="M155" s="80"/>
      <c r="N155" s="80" t="s">
        <v>104</v>
      </c>
    </row>
    <row r="156" spans="1:14" ht="17.25" customHeight="1">
      <c r="A156" s="89" t="s">
        <v>110</v>
      </c>
      <c r="B156" s="89"/>
      <c r="C156" s="8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</row>
    <row r="157" spans="1:14" ht="189" customHeight="1">
      <c r="A157" s="78">
        <v>72</v>
      </c>
      <c r="B157" s="79" t="s">
        <v>111</v>
      </c>
      <c r="C157" s="79" t="s">
        <v>112</v>
      </c>
      <c r="D157" s="78">
        <v>4.578</v>
      </c>
      <c r="E157" s="80">
        <v>137.9</v>
      </c>
      <c r="F157" s="80">
        <v>137.9</v>
      </c>
      <c r="G157" s="80"/>
      <c r="H157" s="81" t="s">
        <v>113</v>
      </c>
      <c r="I157" s="82">
        <v>7206</v>
      </c>
      <c r="J157" s="80"/>
      <c r="K157" s="80">
        <v>7206</v>
      </c>
      <c r="L157" s="80" t="str">
        <f>IF(4.578*0=0," ",TEXT(,ROUND((4.578*0*1),2)))</f>
        <v> </v>
      </c>
      <c r="M157" s="80"/>
      <c r="N157" s="80"/>
    </row>
    <row r="158" spans="1:14" ht="194.25" customHeight="1">
      <c r="A158" s="78">
        <v>73</v>
      </c>
      <c r="B158" s="79" t="s">
        <v>114</v>
      </c>
      <c r="C158" s="79" t="s">
        <v>115</v>
      </c>
      <c r="D158" s="78">
        <v>0.821</v>
      </c>
      <c r="E158" s="80">
        <v>162.24</v>
      </c>
      <c r="F158" s="80">
        <v>162.24</v>
      </c>
      <c r="G158" s="80"/>
      <c r="H158" s="81" t="s">
        <v>116</v>
      </c>
      <c r="I158" s="82">
        <v>1519</v>
      </c>
      <c r="J158" s="80"/>
      <c r="K158" s="80">
        <v>1519</v>
      </c>
      <c r="L158" s="80" t="str">
        <f>IF(0.821*0=0," ",TEXT(,ROUND((0.821*0*1),2)))</f>
        <v> </v>
      </c>
      <c r="M158" s="80"/>
      <c r="N158" s="80"/>
    </row>
    <row r="159" spans="1:14" ht="195.75" customHeight="1">
      <c r="A159" s="78">
        <v>74</v>
      </c>
      <c r="B159" s="79" t="s">
        <v>117</v>
      </c>
      <c r="C159" s="79" t="s">
        <v>118</v>
      </c>
      <c r="D159" s="78">
        <v>8.268</v>
      </c>
      <c r="E159" s="80">
        <v>306.45</v>
      </c>
      <c r="F159" s="80">
        <v>306.45</v>
      </c>
      <c r="G159" s="80"/>
      <c r="H159" s="81" t="s">
        <v>119</v>
      </c>
      <c r="I159" s="82">
        <v>28938</v>
      </c>
      <c r="J159" s="80"/>
      <c r="K159" s="80">
        <v>28938</v>
      </c>
      <c r="L159" s="80" t="str">
        <f>IF(8.268*0=0," ",TEXT(,ROUND((8.268*0*1),2)))</f>
        <v> </v>
      </c>
      <c r="M159" s="80"/>
      <c r="N159" s="80"/>
    </row>
    <row r="160" spans="1:14" ht="204">
      <c r="A160" s="78">
        <v>75</v>
      </c>
      <c r="B160" s="79" t="s">
        <v>120</v>
      </c>
      <c r="C160" s="79" t="s">
        <v>121</v>
      </c>
      <c r="D160" s="78">
        <v>4.578</v>
      </c>
      <c r="E160" s="80">
        <v>69.6</v>
      </c>
      <c r="F160" s="80">
        <v>69.6</v>
      </c>
      <c r="G160" s="80"/>
      <c r="H160" s="81" t="s">
        <v>122</v>
      </c>
      <c r="I160" s="82">
        <v>3643</v>
      </c>
      <c r="J160" s="80"/>
      <c r="K160" s="80">
        <v>3643</v>
      </c>
      <c r="L160" s="80" t="str">
        <f>IF(4.578*0=0," ",TEXT(,ROUND((4.578*0*1),2)))</f>
        <v> </v>
      </c>
      <c r="M160" s="80"/>
      <c r="N160" s="80"/>
    </row>
    <row r="161" spans="1:14" ht="208.5" customHeight="1">
      <c r="A161" s="78">
        <v>76</v>
      </c>
      <c r="B161" s="79" t="s">
        <v>123</v>
      </c>
      <c r="C161" s="79" t="s">
        <v>124</v>
      </c>
      <c r="D161" s="78">
        <v>0.821</v>
      </c>
      <c r="E161" s="80">
        <v>81.6</v>
      </c>
      <c r="F161" s="80">
        <v>81.6</v>
      </c>
      <c r="G161" s="80"/>
      <c r="H161" s="81" t="s">
        <v>125</v>
      </c>
      <c r="I161" s="82">
        <v>765</v>
      </c>
      <c r="J161" s="80"/>
      <c r="K161" s="80">
        <v>765</v>
      </c>
      <c r="L161" s="80" t="str">
        <f>IF(0.821*0=0," ",TEXT(,ROUND((0.821*0*1),2)))</f>
        <v> </v>
      </c>
      <c r="M161" s="80"/>
      <c r="N161" s="80"/>
    </row>
    <row r="162" spans="1:14" ht="210.75" customHeight="1">
      <c r="A162" s="78">
        <v>77</v>
      </c>
      <c r="B162" s="79" t="s">
        <v>126</v>
      </c>
      <c r="C162" s="79" t="s">
        <v>127</v>
      </c>
      <c r="D162" s="78">
        <v>8.268</v>
      </c>
      <c r="E162" s="80">
        <v>154.8</v>
      </c>
      <c r="F162" s="80">
        <v>154.8</v>
      </c>
      <c r="G162" s="80"/>
      <c r="H162" s="81" t="s">
        <v>128</v>
      </c>
      <c r="I162" s="82">
        <v>14618</v>
      </c>
      <c r="J162" s="80"/>
      <c r="K162" s="80">
        <v>14618</v>
      </c>
      <c r="L162" s="80" t="str">
        <f>IF(8.268*0=0," ",TEXT(,ROUND((8.268*0*1),2)))</f>
        <v> </v>
      </c>
      <c r="M162" s="80"/>
      <c r="N162" s="80"/>
    </row>
    <row r="163" spans="1:14" ht="12">
      <c r="A163" s="91" t="s">
        <v>535</v>
      </c>
      <c r="B163" s="91"/>
      <c r="C163" s="91"/>
      <c r="D163" s="91"/>
      <c r="E163" s="91"/>
      <c r="F163" s="91"/>
      <c r="G163" s="91"/>
      <c r="H163" s="91"/>
      <c r="I163" s="82">
        <v>4964</v>
      </c>
      <c r="J163" s="80"/>
      <c r="K163" s="80">
        <v>4964</v>
      </c>
      <c r="L163" s="80"/>
      <c r="M163" s="80"/>
      <c r="N163" s="80"/>
    </row>
    <row r="164" spans="1:14" ht="12">
      <c r="A164" s="91" t="s">
        <v>538</v>
      </c>
      <c r="B164" s="91"/>
      <c r="C164" s="91"/>
      <c r="D164" s="91"/>
      <c r="E164" s="91"/>
      <c r="F164" s="91"/>
      <c r="G164" s="91"/>
      <c r="H164" s="91"/>
      <c r="I164" s="82">
        <v>56689</v>
      </c>
      <c r="J164" s="80"/>
      <c r="K164" s="80">
        <v>56689</v>
      </c>
      <c r="L164" s="80"/>
      <c r="M164" s="80"/>
      <c r="N164" s="80"/>
    </row>
    <row r="165" spans="1:14" ht="12">
      <c r="A165" s="89" t="s">
        <v>129</v>
      </c>
      <c r="B165" s="89"/>
      <c r="C165" s="89"/>
      <c r="D165" s="89"/>
      <c r="E165" s="89"/>
      <c r="F165" s="89"/>
      <c r="G165" s="89"/>
      <c r="H165" s="89"/>
      <c r="I165" s="82"/>
      <c r="J165" s="80"/>
      <c r="K165" s="80"/>
      <c r="L165" s="80"/>
      <c r="M165" s="80"/>
      <c r="N165" s="80"/>
    </row>
    <row r="166" spans="1:14" ht="12">
      <c r="A166" s="91" t="s">
        <v>552</v>
      </c>
      <c r="B166" s="91"/>
      <c r="C166" s="91"/>
      <c r="D166" s="91"/>
      <c r="E166" s="91"/>
      <c r="F166" s="91"/>
      <c r="G166" s="91"/>
      <c r="H166" s="91"/>
      <c r="I166" s="82">
        <v>56689</v>
      </c>
      <c r="J166" s="80"/>
      <c r="K166" s="80"/>
      <c r="L166" s="80"/>
      <c r="M166" s="80"/>
      <c r="N166" s="80"/>
    </row>
    <row r="167" spans="1:14" ht="12">
      <c r="A167" s="91" t="s">
        <v>553</v>
      </c>
      <c r="B167" s="91"/>
      <c r="C167" s="91"/>
      <c r="D167" s="91"/>
      <c r="E167" s="91"/>
      <c r="F167" s="91"/>
      <c r="G167" s="91"/>
      <c r="H167" s="91"/>
      <c r="I167" s="82">
        <v>56689</v>
      </c>
      <c r="J167" s="80"/>
      <c r="K167" s="80"/>
      <c r="L167" s="80"/>
      <c r="M167" s="80"/>
      <c r="N167" s="80"/>
    </row>
    <row r="168" spans="1:14" ht="12">
      <c r="A168" s="91" t="s">
        <v>554</v>
      </c>
      <c r="B168" s="91"/>
      <c r="C168" s="91"/>
      <c r="D168" s="91"/>
      <c r="E168" s="91"/>
      <c r="F168" s="91"/>
      <c r="G168" s="91"/>
      <c r="H168" s="91"/>
      <c r="I168" s="82"/>
      <c r="J168" s="80"/>
      <c r="K168" s="80"/>
      <c r="L168" s="80"/>
      <c r="M168" s="80"/>
      <c r="N168" s="80"/>
    </row>
    <row r="169" spans="1:14" ht="12">
      <c r="A169" s="91" t="s">
        <v>556</v>
      </c>
      <c r="B169" s="91"/>
      <c r="C169" s="91"/>
      <c r="D169" s="91"/>
      <c r="E169" s="91"/>
      <c r="F169" s="91"/>
      <c r="G169" s="91"/>
      <c r="H169" s="91"/>
      <c r="I169" s="82">
        <v>56689</v>
      </c>
      <c r="J169" s="80"/>
      <c r="K169" s="80"/>
      <c r="L169" s="80"/>
      <c r="M169" s="80"/>
      <c r="N169" s="80"/>
    </row>
    <row r="170" spans="1:14" ht="12">
      <c r="A170" s="89" t="s">
        <v>130</v>
      </c>
      <c r="B170" s="89"/>
      <c r="C170" s="89"/>
      <c r="D170" s="89"/>
      <c r="E170" s="89"/>
      <c r="F170" s="89"/>
      <c r="G170" s="89"/>
      <c r="H170" s="89"/>
      <c r="I170" s="82">
        <v>56689</v>
      </c>
      <c r="J170" s="80"/>
      <c r="K170" s="80"/>
      <c r="L170" s="80"/>
      <c r="M170" s="80"/>
      <c r="N170" s="80"/>
    </row>
    <row r="171" spans="1:14" ht="24">
      <c r="A171" s="90" t="s">
        <v>131</v>
      </c>
      <c r="B171" s="91"/>
      <c r="C171" s="91"/>
      <c r="D171" s="91"/>
      <c r="E171" s="91"/>
      <c r="F171" s="91"/>
      <c r="G171" s="91"/>
      <c r="H171" s="91"/>
      <c r="I171" s="83">
        <v>191288</v>
      </c>
      <c r="J171" s="83">
        <v>18183</v>
      </c>
      <c r="K171" s="83" t="s">
        <v>132</v>
      </c>
      <c r="L171" s="83">
        <v>161040</v>
      </c>
      <c r="M171" s="83"/>
      <c r="N171" s="83" t="s">
        <v>133</v>
      </c>
    </row>
    <row r="172" spans="1:14" ht="24">
      <c r="A172" s="90" t="s">
        <v>134</v>
      </c>
      <c r="B172" s="91"/>
      <c r="C172" s="91"/>
      <c r="D172" s="91"/>
      <c r="E172" s="91"/>
      <c r="F172" s="91"/>
      <c r="G172" s="91"/>
      <c r="H172" s="91"/>
      <c r="I172" s="83">
        <v>1296571</v>
      </c>
      <c r="J172" s="83">
        <v>299110</v>
      </c>
      <c r="K172" s="83" t="s">
        <v>135</v>
      </c>
      <c r="L172" s="83">
        <v>866078</v>
      </c>
      <c r="M172" s="83"/>
      <c r="N172" s="83" t="s">
        <v>133</v>
      </c>
    </row>
    <row r="173" spans="1:14" ht="12">
      <c r="A173" s="90" t="s">
        <v>540</v>
      </c>
      <c r="B173" s="91"/>
      <c r="C173" s="91"/>
      <c r="D173" s="91"/>
      <c r="E173" s="91"/>
      <c r="F173" s="91"/>
      <c r="G173" s="91"/>
      <c r="H173" s="91"/>
      <c r="I173" s="83">
        <v>267887</v>
      </c>
      <c r="J173" s="83"/>
      <c r="K173" s="83"/>
      <c r="L173" s="83"/>
      <c r="M173" s="83"/>
      <c r="N173" s="83"/>
    </row>
    <row r="174" spans="1:14" ht="12">
      <c r="A174" s="90" t="s">
        <v>541</v>
      </c>
      <c r="B174" s="91"/>
      <c r="C174" s="91"/>
      <c r="D174" s="91"/>
      <c r="E174" s="91"/>
      <c r="F174" s="91"/>
      <c r="G174" s="91"/>
      <c r="H174" s="91"/>
      <c r="I174" s="83">
        <v>137680</v>
      </c>
      <c r="J174" s="83"/>
      <c r="K174" s="83"/>
      <c r="L174" s="83"/>
      <c r="M174" s="83"/>
      <c r="N174" s="83"/>
    </row>
    <row r="175" spans="1:14" ht="12">
      <c r="A175" s="88" t="s">
        <v>136</v>
      </c>
      <c r="B175" s="89"/>
      <c r="C175" s="89"/>
      <c r="D175" s="89"/>
      <c r="E175" s="89"/>
      <c r="F175" s="89"/>
      <c r="G175" s="89"/>
      <c r="H175" s="89"/>
      <c r="I175" s="83"/>
      <c r="J175" s="83"/>
      <c r="K175" s="83"/>
      <c r="L175" s="83"/>
      <c r="M175" s="83"/>
      <c r="N175" s="83"/>
    </row>
    <row r="176" spans="1:14" ht="24">
      <c r="A176" s="90" t="s">
        <v>543</v>
      </c>
      <c r="B176" s="91"/>
      <c r="C176" s="91"/>
      <c r="D176" s="91"/>
      <c r="E176" s="91"/>
      <c r="F176" s="91"/>
      <c r="G176" s="91"/>
      <c r="H176" s="91"/>
      <c r="I176" s="83">
        <v>36949</v>
      </c>
      <c r="J176" s="83"/>
      <c r="K176" s="83"/>
      <c r="L176" s="83"/>
      <c r="M176" s="83"/>
      <c r="N176" s="83" t="s">
        <v>544</v>
      </c>
    </row>
    <row r="177" spans="1:14" ht="24" customHeight="1">
      <c r="A177" s="90" t="s">
        <v>545</v>
      </c>
      <c r="B177" s="91"/>
      <c r="C177" s="91"/>
      <c r="D177" s="91"/>
      <c r="E177" s="91"/>
      <c r="F177" s="91"/>
      <c r="G177" s="91"/>
      <c r="H177" s="91"/>
      <c r="I177" s="83">
        <v>17996</v>
      </c>
      <c r="J177" s="83"/>
      <c r="K177" s="83"/>
      <c r="L177" s="83"/>
      <c r="M177" s="83"/>
      <c r="N177" s="83">
        <v>58.13</v>
      </c>
    </row>
    <row r="178" spans="1:14" ht="24">
      <c r="A178" s="90" t="s">
        <v>546</v>
      </c>
      <c r="B178" s="91"/>
      <c r="C178" s="91"/>
      <c r="D178" s="91"/>
      <c r="E178" s="91"/>
      <c r="F178" s="91"/>
      <c r="G178" s="91"/>
      <c r="H178" s="91"/>
      <c r="I178" s="83">
        <v>129397</v>
      </c>
      <c r="J178" s="83"/>
      <c r="K178" s="83"/>
      <c r="L178" s="83"/>
      <c r="M178" s="83"/>
      <c r="N178" s="83" t="s">
        <v>137</v>
      </c>
    </row>
    <row r="179" spans="1:14" ht="24">
      <c r="A179" s="90" t="s">
        <v>548</v>
      </c>
      <c r="B179" s="91"/>
      <c r="C179" s="91"/>
      <c r="D179" s="91"/>
      <c r="E179" s="91"/>
      <c r="F179" s="91"/>
      <c r="G179" s="91"/>
      <c r="H179" s="91"/>
      <c r="I179" s="83">
        <v>346280</v>
      </c>
      <c r="J179" s="83"/>
      <c r="K179" s="83"/>
      <c r="L179" s="83"/>
      <c r="M179" s="83"/>
      <c r="N179" s="83" t="s">
        <v>138</v>
      </c>
    </row>
    <row r="180" spans="1:14" ht="12">
      <c r="A180" s="90" t="s">
        <v>550</v>
      </c>
      <c r="B180" s="91"/>
      <c r="C180" s="91"/>
      <c r="D180" s="91"/>
      <c r="E180" s="91"/>
      <c r="F180" s="91"/>
      <c r="G180" s="91"/>
      <c r="H180" s="91"/>
      <c r="I180" s="83">
        <v>50809</v>
      </c>
      <c r="J180" s="83"/>
      <c r="K180" s="83"/>
      <c r="L180" s="83"/>
      <c r="M180" s="83"/>
      <c r="N180" s="83">
        <v>176.06</v>
      </c>
    </row>
    <row r="181" spans="1:14" ht="12">
      <c r="A181" s="90" t="s">
        <v>551</v>
      </c>
      <c r="B181" s="91"/>
      <c r="C181" s="91"/>
      <c r="D181" s="91"/>
      <c r="E181" s="91"/>
      <c r="F181" s="91"/>
      <c r="G181" s="91"/>
      <c r="H181" s="91"/>
      <c r="I181" s="83">
        <v>2948</v>
      </c>
      <c r="J181" s="83"/>
      <c r="K181" s="83"/>
      <c r="L181" s="83"/>
      <c r="M181" s="83"/>
      <c r="N181" s="83"/>
    </row>
    <row r="182" spans="1:14" ht="12">
      <c r="A182" s="90" t="s">
        <v>552</v>
      </c>
      <c r="B182" s="91"/>
      <c r="C182" s="91"/>
      <c r="D182" s="91"/>
      <c r="E182" s="91"/>
      <c r="F182" s="91"/>
      <c r="G182" s="91"/>
      <c r="H182" s="91"/>
      <c r="I182" s="83">
        <v>59570</v>
      </c>
      <c r="J182" s="83"/>
      <c r="K182" s="83"/>
      <c r="L182" s="83"/>
      <c r="M182" s="83"/>
      <c r="N182" s="83"/>
    </row>
    <row r="183" spans="1:14" ht="12">
      <c r="A183" s="90" t="s">
        <v>35</v>
      </c>
      <c r="B183" s="91"/>
      <c r="C183" s="91"/>
      <c r="D183" s="91"/>
      <c r="E183" s="91"/>
      <c r="F183" s="91"/>
      <c r="G183" s="91"/>
      <c r="H183" s="91"/>
      <c r="I183" s="83">
        <v>377099</v>
      </c>
      <c r="J183" s="83"/>
      <c r="K183" s="83"/>
      <c r="L183" s="83"/>
      <c r="M183" s="83"/>
      <c r="N183" s="83"/>
    </row>
    <row r="184" spans="1:14" ht="24" customHeight="1">
      <c r="A184" s="90" t="s">
        <v>36</v>
      </c>
      <c r="B184" s="91"/>
      <c r="C184" s="91"/>
      <c r="D184" s="91"/>
      <c r="E184" s="91"/>
      <c r="F184" s="91"/>
      <c r="G184" s="91"/>
      <c r="H184" s="91"/>
      <c r="I184" s="83">
        <v>962</v>
      </c>
      <c r="J184" s="83"/>
      <c r="K184" s="83"/>
      <c r="L184" s="83"/>
      <c r="M184" s="83"/>
      <c r="N184" s="83"/>
    </row>
    <row r="185" spans="1:14" ht="24">
      <c r="A185" s="90" t="s">
        <v>37</v>
      </c>
      <c r="B185" s="91"/>
      <c r="C185" s="91"/>
      <c r="D185" s="91"/>
      <c r="E185" s="91"/>
      <c r="F185" s="91"/>
      <c r="G185" s="91"/>
      <c r="H185" s="91"/>
      <c r="I185" s="83">
        <v>149549</v>
      </c>
      <c r="J185" s="83"/>
      <c r="K185" s="83"/>
      <c r="L185" s="83"/>
      <c r="M185" s="83"/>
      <c r="N185" s="83" t="s">
        <v>139</v>
      </c>
    </row>
    <row r="186" spans="1:14" ht="12">
      <c r="A186" s="90" t="s">
        <v>38</v>
      </c>
      <c r="B186" s="91"/>
      <c r="C186" s="91"/>
      <c r="D186" s="91"/>
      <c r="E186" s="91"/>
      <c r="F186" s="91"/>
      <c r="G186" s="91"/>
      <c r="H186" s="91"/>
      <c r="I186" s="83">
        <v>7938</v>
      </c>
      <c r="J186" s="83"/>
      <c r="K186" s="83"/>
      <c r="L186" s="83"/>
      <c r="M186" s="83"/>
      <c r="N186" s="83">
        <v>14.92</v>
      </c>
    </row>
    <row r="187" spans="1:14" ht="24">
      <c r="A187" s="90" t="s">
        <v>39</v>
      </c>
      <c r="B187" s="91"/>
      <c r="C187" s="91"/>
      <c r="D187" s="91"/>
      <c r="E187" s="91"/>
      <c r="F187" s="91"/>
      <c r="G187" s="91"/>
      <c r="H187" s="91"/>
      <c r="I187" s="83">
        <v>521402</v>
      </c>
      <c r="J187" s="83"/>
      <c r="K187" s="83"/>
      <c r="L187" s="83"/>
      <c r="M187" s="83"/>
      <c r="N187" s="83" t="s">
        <v>140</v>
      </c>
    </row>
    <row r="188" spans="1:14" ht="24">
      <c r="A188" s="90" t="s">
        <v>41</v>
      </c>
      <c r="B188" s="91"/>
      <c r="C188" s="91"/>
      <c r="D188" s="91"/>
      <c r="E188" s="91"/>
      <c r="F188" s="91"/>
      <c r="G188" s="91"/>
      <c r="H188" s="91"/>
      <c r="I188" s="83">
        <v>1168</v>
      </c>
      <c r="J188" s="83"/>
      <c r="K188" s="83"/>
      <c r="L188" s="83"/>
      <c r="M188" s="83"/>
      <c r="N188" s="83" t="s">
        <v>42</v>
      </c>
    </row>
    <row r="189" spans="1:14" ht="12">
      <c r="A189" s="90" t="s">
        <v>43</v>
      </c>
      <c r="B189" s="91"/>
      <c r="C189" s="91"/>
      <c r="D189" s="91"/>
      <c r="E189" s="91"/>
      <c r="F189" s="91"/>
      <c r="G189" s="91"/>
      <c r="H189" s="91"/>
      <c r="I189" s="83">
        <v>71</v>
      </c>
      <c r="J189" s="83"/>
      <c r="K189" s="83"/>
      <c r="L189" s="83"/>
      <c r="M189" s="83"/>
      <c r="N189" s="83">
        <v>0.11</v>
      </c>
    </row>
    <row r="190" spans="1:14" ht="24">
      <c r="A190" s="90" t="s">
        <v>553</v>
      </c>
      <c r="B190" s="91"/>
      <c r="C190" s="91"/>
      <c r="D190" s="91"/>
      <c r="E190" s="91"/>
      <c r="F190" s="91"/>
      <c r="G190" s="91"/>
      <c r="H190" s="91"/>
      <c r="I190" s="83">
        <v>1702138</v>
      </c>
      <c r="J190" s="83"/>
      <c r="K190" s="83"/>
      <c r="L190" s="83"/>
      <c r="M190" s="83"/>
      <c r="N190" s="83" t="s">
        <v>133</v>
      </c>
    </row>
    <row r="191" spans="1:14" ht="12">
      <c r="A191" s="90" t="s">
        <v>554</v>
      </c>
      <c r="B191" s="91"/>
      <c r="C191" s="91"/>
      <c r="D191" s="91"/>
      <c r="E191" s="91"/>
      <c r="F191" s="91"/>
      <c r="G191" s="91"/>
      <c r="H191" s="91"/>
      <c r="I191" s="83"/>
      <c r="J191" s="83"/>
      <c r="K191" s="83"/>
      <c r="L191" s="83"/>
      <c r="M191" s="83"/>
      <c r="N191" s="83"/>
    </row>
    <row r="192" spans="1:14" ht="12">
      <c r="A192" s="90" t="s">
        <v>555</v>
      </c>
      <c r="B192" s="91"/>
      <c r="C192" s="91"/>
      <c r="D192" s="91"/>
      <c r="E192" s="91"/>
      <c r="F192" s="91"/>
      <c r="G192" s="91"/>
      <c r="H192" s="91"/>
      <c r="I192" s="83">
        <v>866078</v>
      </c>
      <c r="J192" s="83"/>
      <c r="K192" s="83"/>
      <c r="L192" s="83"/>
      <c r="M192" s="83"/>
      <c r="N192" s="83"/>
    </row>
    <row r="193" spans="1:14" ht="12">
      <c r="A193" s="90" t="s">
        <v>556</v>
      </c>
      <c r="B193" s="91"/>
      <c r="C193" s="91"/>
      <c r="D193" s="91"/>
      <c r="E193" s="91"/>
      <c r="F193" s="91"/>
      <c r="G193" s="91"/>
      <c r="H193" s="91"/>
      <c r="I193" s="83">
        <v>131383</v>
      </c>
      <c r="J193" s="83"/>
      <c r="K193" s="83"/>
      <c r="L193" s="83"/>
      <c r="M193" s="83"/>
      <c r="N193" s="83"/>
    </row>
    <row r="194" spans="1:14" ht="12">
      <c r="A194" s="90" t="s">
        <v>557</v>
      </c>
      <c r="B194" s="91"/>
      <c r="C194" s="91"/>
      <c r="D194" s="91"/>
      <c r="E194" s="91"/>
      <c r="F194" s="91"/>
      <c r="G194" s="91"/>
      <c r="H194" s="91"/>
      <c r="I194" s="83">
        <v>303468</v>
      </c>
      <c r="J194" s="83"/>
      <c r="K194" s="83"/>
      <c r="L194" s="83"/>
      <c r="M194" s="83"/>
      <c r="N194" s="83"/>
    </row>
    <row r="195" spans="1:14" ht="12">
      <c r="A195" s="90" t="s">
        <v>558</v>
      </c>
      <c r="B195" s="91"/>
      <c r="C195" s="91"/>
      <c r="D195" s="91"/>
      <c r="E195" s="91"/>
      <c r="F195" s="91"/>
      <c r="G195" s="91"/>
      <c r="H195" s="91"/>
      <c r="I195" s="83">
        <v>267887</v>
      </c>
      <c r="J195" s="83"/>
      <c r="K195" s="83"/>
      <c r="L195" s="83"/>
      <c r="M195" s="83"/>
      <c r="N195" s="83"/>
    </row>
    <row r="196" spans="1:14" ht="12">
      <c r="A196" s="90" t="s">
        <v>559</v>
      </c>
      <c r="B196" s="91"/>
      <c r="C196" s="91"/>
      <c r="D196" s="91"/>
      <c r="E196" s="91"/>
      <c r="F196" s="91"/>
      <c r="G196" s="91"/>
      <c r="H196" s="91"/>
      <c r="I196" s="83">
        <v>137680</v>
      </c>
      <c r="J196" s="83"/>
      <c r="K196" s="83"/>
      <c r="L196" s="83"/>
      <c r="M196" s="83"/>
      <c r="N196" s="83"/>
    </row>
    <row r="197" spans="1:14" ht="24">
      <c r="A197" s="88" t="s">
        <v>141</v>
      </c>
      <c r="B197" s="89"/>
      <c r="C197" s="89"/>
      <c r="D197" s="89"/>
      <c r="E197" s="89"/>
      <c r="F197" s="89"/>
      <c r="G197" s="89"/>
      <c r="H197" s="89"/>
      <c r="I197" s="83">
        <v>1702138</v>
      </c>
      <c r="J197" s="83"/>
      <c r="K197" s="83"/>
      <c r="L197" s="83"/>
      <c r="M197" s="83"/>
      <c r="N197" s="83" t="s">
        <v>133</v>
      </c>
    </row>
    <row r="198" spans="1:13" ht="12">
      <c r="A198" s="84"/>
      <c r="B198" s="85"/>
      <c r="C198" s="85"/>
      <c r="D198" s="84"/>
      <c r="E198" s="73"/>
      <c r="F198" s="73"/>
      <c r="G198" s="73"/>
      <c r="H198" s="73"/>
      <c r="I198" s="86"/>
      <c r="J198" s="73"/>
      <c r="K198" s="73"/>
      <c r="L198" s="73"/>
      <c r="M198" s="73"/>
    </row>
    <row r="199" spans="1:13" ht="12">
      <c r="A199" s="84"/>
      <c r="B199" s="85"/>
      <c r="C199" s="85"/>
      <c r="D199" s="84"/>
      <c r="E199" s="73"/>
      <c r="F199" s="73"/>
      <c r="G199" s="73"/>
      <c r="H199" s="73"/>
      <c r="I199" s="86"/>
      <c r="J199" s="73"/>
      <c r="K199" s="73"/>
      <c r="L199" s="73"/>
      <c r="M199" s="73"/>
    </row>
    <row r="200" spans="1:13" ht="12">
      <c r="A200" s="84"/>
      <c r="B200" s="85"/>
      <c r="C200" s="87" t="s">
        <v>714</v>
      </c>
      <c r="D200" s="84"/>
      <c r="E200" s="73"/>
      <c r="F200" s="87" t="s">
        <v>462</v>
      </c>
      <c r="G200" s="87"/>
      <c r="H200" s="87"/>
      <c r="I200" s="73"/>
      <c r="J200" s="73"/>
      <c r="K200" s="73"/>
      <c r="L200" s="73"/>
      <c r="M200" s="73"/>
    </row>
    <row r="225" ht="12"/>
    <row r="226" ht="12"/>
    <row r="227" ht="12"/>
    <row r="229" ht="12"/>
  </sheetData>
  <sheetProtection/>
  <mergeCells count="119">
    <mergeCell ref="I12:L14"/>
    <mergeCell ref="J17:J18"/>
    <mergeCell ref="L17:L18"/>
    <mergeCell ref="N17:N18"/>
    <mergeCell ref="A15:A18"/>
    <mergeCell ref="D15:D18"/>
    <mergeCell ref="C15:C18"/>
    <mergeCell ref="B15:B18"/>
    <mergeCell ref="A10:N10"/>
    <mergeCell ref="C11:E11"/>
    <mergeCell ref="D12:E12"/>
    <mergeCell ref="G17:G18"/>
    <mergeCell ref="M15:N16"/>
    <mergeCell ref="E15:G16"/>
    <mergeCell ref="I15:L16"/>
    <mergeCell ref="M17:M18"/>
    <mergeCell ref="H15:H18"/>
    <mergeCell ref="I17:I18"/>
    <mergeCell ref="A20:N20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N54"/>
    <mergeCell ref="A55:N55"/>
    <mergeCell ref="A76:N76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5:H115"/>
    <mergeCell ref="A116:H116"/>
    <mergeCell ref="A117:H117"/>
    <mergeCell ref="A118:H118"/>
    <mergeCell ref="A119:H119"/>
    <mergeCell ref="A120:H120"/>
    <mergeCell ref="A121:H121"/>
    <mergeCell ref="A122:H122"/>
    <mergeCell ref="A123:N123"/>
    <mergeCell ref="A138:H138"/>
    <mergeCell ref="A139:H139"/>
    <mergeCell ref="A140:H140"/>
    <mergeCell ref="A141:H141"/>
    <mergeCell ref="A142:H142"/>
    <mergeCell ref="A143:H143"/>
    <mergeCell ref="A144:H144"/>
    <mergeCell ref="A145:H145"/>
    <mergeCell ref="A146:H146"/>
    <mergeCell ref="A147:H147"/>
    <mergeCell ref="A148:H148"/>
    <mergeCell ref="A149:H149"/>
    <mergeCell ref="A150:H150"/>
    <mergeCell ref="A151:H151"/>
    <mergeCell ref="A152:H152"/>
    <mergeCell ref="A153:H153"/>
    <mergeCell ref="A154:H154"/>
    <mergeCell ref="A155:H155"/>
    <mergeCell ref="A156:N156"/>
    <mergeCell ref="A163:H163"/>
    <mergeCell ref="A164:H164"/>
    <mergeCell ref="A165:H165"/>
    <mergeCell ref="A166:H166"/>
    <mergeCell ref="A167:H167"/>
    <mergeCell ref="A168:H168"/>
    <mergeCell ref="A169:H169"/>
    <mergeCell ref="A170:H170"/>
    <mergeCell ref="A171:H171"/>
    <mergeCell ref="A172:H172"/>
    <mergeCell ref="A173:H173"/>
    <mergeCell ref="A174:H174"/>
    <mergeCell ref="A175:H175"/>
    <mergeCell ref="A176:H176"/>
    <mergeCell ref="A177:H177"/>
    <mergeCell ref="A178:H178"/>
    <mergeCell ref="A179:H179"/>
    <mergeCell ref="A180:H180"/>
    <mergeCell ref="A192:H192"/>
    <mergeCell ref="A181:H181"/>
    <mergeCell ref="A182:H182"/>
    <mergeCell ref="A183:H183"/>
    <mergeCell ref="A184:H184"/>
    <mergeCell ref="A185:H185"/>
    <mergeCell ref="A186:H186"/>
    <mergeCell ref="A197:H197"/>
    <mergeCell ref="A193:H193"/>
    <mergeCell ref="A194:H194"/>
    <mergeCell ref="A195:H195"/>
    <mergeCell ref="A196:H196"/>
    <mergeCell ref="A187:H187"/>
    <mergeCell ref="A188:H188"/>
    <mergeCell ref="A189:H189"/>
    <mergeCell ref="A190:H190"/>
    <mergeCell ref="A191:H191"/>
  </mergeCells>
  <printOptions/>
  <pageMargins left="0.2362204724409449" right="0.1968503937007874" top="0.5511811023622047" bottom="0.2755905511811024" header="0.2755905511811024" footer="0.1968503937007874"/>
  <pageSetup horizontalDpi="600" verticalDpi="600" orientation="landscape" paperSize="9" scale="9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4"/>
  <sheetViews>
    <sheetView showGridLines="0" zoomScalePageLayoutView="0" workbookViewId="0" topLeftCell="A94">
      <selection activeCell="B19" sqref="B19"/>
    </sheetView>
  </sheetViews>
  <sheetFormatPr defaultColWidth="9.00390625" defaultRowHeight="12.75"/>
  <cols>
    <col min="1" max="1" width="4.00390625" style="14" customWidth="1"/>
    <col min="2" max="2" width="70.375" style="13" customWidth="1"/>
    <col min="3" max="3" width="4.00390625" style="11" customWidth="1"/>
    <col min="4" max="4" width="63.25390625" style="4" customWidth="1"/>
    <col min="5" max="5" width="3.625" style="0" customWidth="1"/>
    <col min="6" max="6" width="48.25390625" style="0" customWidth="1"/>
    <col min="12" max="12" width="18.625" style="0" bestFit="1" customWidth="1"/>
  </cols>
  <sheetData>
    <row r="1" spans="1:6" ht="13.5" customHeight="1">
      <c r="A1" s="112" t="s">
        <v>378</v>
      </c>
      <c r="B1" s="113"/>
      <c r="C1" s="113"/>
      <c r="D1" s="113"/>
      <c r="E1" s="15"/>
      <c r="F1" s="10"/>
    </row>
    <row r="2" spans="1:5" ht="12.75">
      <c r="A2" s="11"/>
      <c r="B2" s="4"/>
      <c r="E2" s="15"/>
    </row>
    <row r="3" spans="1:5" ht="13.5" thickBot="1">
      <c r="A3" s="11"/>
      <c r="B3" s="4"/>
      <c r="E3" s="15"/>
    </row>
    <row r="4" spans="1:6" ht="13.5" thickBot="1">
      <c r="A4" s="16" t="s">
        <v>316</v>
      </c>
      <c r="B4" s="17" t="s">
        <v>379</v>
      </c>
      <c r="C4" s="17" t="s">
        <v>316</v>
      </c>
      <c r="D4" s="18" t="s">
        <v>380</v>
      </c>
      <c r="E4" s="17" t="s">
        <v>316</v>
      </c>
      <c r="F4" s="19" t="s">
        <v>396</v>
      </c>
    </row>
    <row r="5" spans="1:6" ht="12.75">
      <c r="A5" s="20"/>
      <c r="B5" s="21"/>
      <c r="C5" s="20"/>
      <c r="D5" s="22"/>
      <c r="E5" s="23"/>
      <c r="F5" s="24"/>
    </row>
    <row r="6" spans="1:6" ht="12.75">
      <c r="A6" s="25"/>
      <c r="B6" s="26" t="s">
        <v>397</v>
      </c>
      <c r="C6" s="25">
        <v>1</v>
      </c>
      <c r="D6" s="27" t="s">
        <v>194</v>
      </c>
      <c r="E6" s="23">
        <v>1</v>
      </c>
      <c r="F6" s="24" t="s">
        <v>398</v>
      </c>
    </row>
    <row r="7" spans="1:6" ht="12.75">
      <c r="A7" s="25"/>
      <c r="B7" s="28"/>
      <c r="C7" s="25">
        <v>2</v>
      </c>
      <c r="D7" s="29" t="s">
        <v>317</v>
      </c>
      <c r="E7" s="23">
        <v>2</v>
      </c>
      <c r="F7" s="24" t="s">
        <v>399</v>
      </c>
    </row>
    <row r="8" spans="1:6" ht="12.75">
      <c r="A8" s="25">
        <v>1</v>
      </c>
      <c r="B8" s="30" t="s">
        <v>230</v>
      </c>
      <c r="C8" s="25">
        <v>3</v>
      </c>
      <c r="D8" s="29" t="s">
        <v>318</v>
      </c>
      <c r="E8" s="23">
        <v>3</v>
      </c>
      <c r="F8" s="24" t="s">
        <v>400</v>
      </c>
    </row>
    <row r="9" spans="1:6" ht="12.75">
      <c r="A9" s="31">
        <v>2</v>
      </c>
      <c r="B9" s="32" t="s">
        <v>231</v>
      </c>
      <c r="C9" s="25">
        <v>4</v>
      </c>
      <c r="D9" s="29" t="s">
        <v>319</v>
      </c>
      <c r="E9" s="23">
        <v>4</v>
      </c>
      <c r="F9" s="24" t="s">
        <v>401</v>
      </c>
    </row>
    <row r="10" spans="1:6" ht="12.75">
      <c r="A10" s="25">
        <v>3</v>
      </c>
      <c r="B10" s="30" t="s">
        <v>232</v>
      </c>
      <c r="C10" s="25">
        <v>5</v>
      </c>
      <c r="D10" s="29" t="s">
        <v>320</v>
      </c>
      <c r="E10" s="23">
        <v>5</v>
      </c>
      <c r="F10" s="24" t="s">
        <v>402</v>
      </c>
    </row>
    <row r="11" spans="1:6" ht="12.75">
      <c r="A11" s="31">
        <v>4</v>
      </c>
      <c r="B11" s="32" t="s">
        <v>233</v>
      </c>
      <c r="C11" s="25">
        <v>6</v>
      </c>
      <c r="D11" s="29" t="s">
        <v>321</v>
      </c>
      <c r="E11" s="23">
        <v>6</v>
      </c>
      <c r="F11" s="24" t="s">
        <v>403</v>
      </c>
    </row>
    <row r="12" spans="1:6" ht="12.75">
      <c r="A12" s="25">
        <v>5</v>
      </c>
      <c r="B12" s="32" t="s">
        <v>414</v>
      </c>
      <c r="D12" s="29"/>
      <c r="E12" s="23">
        <v>7</v>
      </c>
      <c r="F12" s="24" t="s">
        <v>404</v>
      </c>
    </row>
    <row r="13" spans="1:6" ht="12.75">
      <c r="A13" s="31">
        <v>6</v>
      </c>
      <c r="B13" s="32" t="s">
        <v>415</v>
      </c>
      <c r="C13" s="25">
        <v>7</v>
      </c>
      <c r="D13" s="27" t="s">
        <v>156</v>
      </c>
      <c r="E13" s="23">
        <v>8</v>
      </c>
      <c r="F13" s="24" t="s">
        <v>405</v>
      </c>
    </row>
    <row r="14" spans="1:6" ht="12.75">
      <c r="A14" s="25">
        <v>7</v>
      </c>
      <c r="B14" s="32" t="s">
        <v>416</v>
      </c>
      <c r="C14" s="25">
        <v>8</v>
      </c>
      <c r="D14" s="29" t="s">
        <v>322</v>
      </c>
      <c r="E14" s="23"/>
      <c r="F14" s="24"/>
    </row>
    <row r="15" spans="1:6" ht="12.75">
      <c r="A15" s="31">
        <v>8</v>
      </c>
      <c r="B15" s="32" t="s">
        <v>417</v>
      </c>
      <c r="C15" s="25">
        <v>9</v>
      </c>
      <c r="D15" s="29" t="s">
        <v>323</v>
      </c>
      <c r="E15" s="23"/>
      <c r="F15" s="24"/>
    </row>
    <row r="16" spans="1:6" ht="12.75">
      <c r="A16" s="25">
        <v>9</v>
      </c>
      <c r="B16" s="32" t="s">
        <v>418</v>
      </c>
      <c r="C16" s="25">
        <v>10</v>
      </c>
      <c r="D16" s="29" t="s">
        <v>324</v>
      </c>
      <c r="E16" s="23"/>
      <c r="F16" s="24"/>
    </row>
    <row r="17" spans="1:6" ht="12.75">
      <c r="A17" s="31">
        <v>10</v>
      </c>
      <c r="B17" s="32" t="s">
        <v>419</v>
      </c>
      <c r="C17" s="25">
        <v>11</v>
      </c>
      <c r="D17" s="29" t="s">
        <v>325</v>
      </c>
      <c r="E17" s="23"/>
      <c r="F17" s="24"/>
    </row>
    <row r="18" spans="1:6" ht="12.75">
      <c r="A18" s="25">
        <v>11</v>
      </c>
      <c r="B18" s="32" t="s">
        <v>420</v>
      </c>
      <c r="C18" s="25">
        <v>12</v>
      </c>
      <c r="D18" s="29" t="s">
        <v>326</v>
      </c>
      <c r="E18" s="23"/>
      <c r="F18" s="24"/>
    </row>
    <row r="19" spans="1:6" ht="12.75">
      <c r="A19" s="25">
        <v>12</v>
      </c>
      <c r="B19" s="32" t="s">
        <v>234</v>
      </c>
      <c r="D19" s="29"/>
      <c r="E19" s="23"/>
      <c r="F19" s="24"/>
    </row>
    <row r="20" spans="1:6" ht="12.75">
      <c r="A20" s="25">
        <v>13</v>
      </c>
      <c r="B20" s="30" t="s">
        <v>235</v>
      </c>
      <c r="C20" s="25">
        <v>13</v>
      </c>
      <c r="D20" s="27" t="s">
        <v>153</v>
      </c>
      <c r="E20" s="23"/>
      <c r="F20" s="24"/>
    </row>
    <row r="21" spans="1:6" ht="12.75">
      <c r="A21" s="25">
        <v>14</v>
      </c>
      <c r="B21" s="30" t="s">
        <v>236</v>
      </c>
      <c r="C21" s="25">
        <v>14</v>
      </c>
      <c r="D21" s="29" t="s">
        <v>327</v>
      </c>
      <c r="E21" s="23"/>
      <c r="F21" s="24"/>
    </row>
    <row r="22" spans="1:6" ht="12.75">
      <c r="A22" s="25">
        <v>15</v>
      </c>
      <c r="B22" s="30" t="s">
        <v>237</v>
      </c>
      <c r="C22" s="25">
        <v>15</v>
      </c>
      <c r="D22" s="29" t="s">
        <v>328</v>
      </c>
      <c r="E22" s="23"/>
      <c r="F22" s="24"/>
    </row>
    <row r="23" spans="1:6" ht="12.75">
      <c r="A23" s="25">
        <v>16</v>
      </c>
      <c r="B23" s="30" t="s">
        <v>406</v>
      </c>
      <c r="C23" s="25">
        <v>16</v>
      </c>
      <c r="D23" s="29" t="s">
        <v>329</v>
      </c>
      <c r="E23" s="23"/>
      <c r="F23" s="24"/>
    </row>
    <row r="24" spans="1:6" ht="12.75">
      <c r="A24" s="25">
        <v>17</v>
      </c>
      <c r="B24" s="30" t="s">
        <v>407</v>
      </c>
      <c r="C24" s="25">
        <v>17</v>
      </c>
      <c r="D24" s="29" t="s">
        <v>330</v>
      </c>
      <c r="E24" s="23"/>
      <c r="F24" s="24"/>
    </row>
    <row r="25" spans="1:6" ht="12.75">
      <c r="A25" s="25">
        <v>18</v>
      </c>
      <c r="B25" s="30" t="s">
        <v>408</v>
      </c>
      <c r="C25" s="25">
        <v>18</v>
      </c>
      <c r="D25" s="29" t="s">
        <v>331</v>
      </c>
      <c r="E25" s="23"/>
      <c r="F25" s="24"/>
    </row>
    <row r="26" spans="1:6" ht="12.75">
      <c r="A26" s="25">
        <v>19</v>
      </c>
      <c r="B26" s="32" t="s">
        <v>238</v>
      </c>
      <c r="D26" s="29"/>
      <c r="E26" s="23"/>
      <c r="F26" s="24"/>
    </row>
    <row r="27" spans="1:6" ht="12.75">
      <c r="A27" s="25">
        <v>20</v>
      </c>
      <c r="B27" s="30" t="s">
        <v>239</v>
      </c>
      <c r="C27" s="25">
        <v>19</v>
      </c>
      <c r="D27" s="27" t="s">
        <v>154</v>
      </c>
      <c r="E27" s="23"/>
      <c r="F27" s="24"/>
    </row>
    <row r="28" spans="1:6" ht="12.75">
      <c r="A28" s="25">
        <v>21</v>
      </c>
      <c r="B28" s="30" t="s">
        <v>240</v>
      </c>
      <c r="C28" s="25">
        <v>20</v>
      </c>
      <c r="D28" s="29" t="s">
        <v>332</v>
      </c>
      <c r="E28" s="23"/>
      <c r="F28" s="24"/>
    </row>
    <row r="29" spans="1:6" ht="12.75">
      <c r="A29" s="25">
        <v>22</v>
      </c>
      <c r="B29" s="30" t="s">
        <v>241</v>
      </c>
      <c r="C29" s="25">
        <v>21</v>
      </c>
      <c r="D29" s="29" t="s">
        <v>333</v>
      </c>
      <c r="E29" s="23"/>
      <c r="F29" s="24"/>
    </row>
    <row r="30" spans="1:6" ht="12.75">
      <c r="A30" s="25">
        <v>23</v>
      </c>
      <c r="B30" s="30" t="s">
        <v>242</v>
      </c>
      <c r="C30" s="25">
        <v>22</v>
      </c>
      <c r="D30" s="29" t="s">
        <v>334</v>
      </c>
      <c r="E30" s="23"/>
      <c r="F30" s="24"/>
    </row>
    <row r="31" spans="1:6" ht="12.75">
      <c r="A31" s="25">
        <v>24</v>
      </c>
      <c r="B31" s="32" t="s">
        <v>243</v>
      </c>
      <c r="C31" s="25">
        <v>23</v>
      </c>
      <c r="D31" s="29" t="s">
        <v>335</v>
      </c>
      <c r="E31" s="23"/>
      <c r="F31" s="24"/>
    </row>
    <row r="32" spans="1:6" ht="12.75">
      <c r="A32" s="25">
        <v>25</v>
      </c>
      <c r="B32" s="32" t="s">
        <v>244</v>
      </c>
      <c r="C32" s="25">
        <v>24</v>
      </c>
      <c r="D32" s="29" t="s">
        <v>336</v>
      </c>
      <c r="E32" s="23"/>
      <c r="F32" s="24"/>
    </row>
    <row r="33" spans="1:6" ht="12.75">
      <c r="A33" s="25">
        <v>26</v>
      </c>
      <c r="B33" s="32" t="s">
        <v>245</v>
      </c>
      <c r="D33" s="29"/>
      <c r="E33" s="23"/>
      <c r="F33" s="24"/>
    </row>
    <row r="34" spans="1:6" ht="12.75">
      <c r="A34" s="25">
        <v>27</v>
      </c>
      <c r="B34" s="32" t="s">
        <v>246</v>
      </c>
      <c r="C34" s="25">
        <v>25</v>
      </c>
      <c r="D34" s="27" t="s">
        <v>155</v>
      </c>
      <c r="E34" s="23"/>
      <c r="F34" s="24"/>
    </row>
    <row r="35" spans="1:6" ht="12.75">
      <c r="A35" s="25">
        <v>28</v>
      </c>
      <c r="B35" s="32" t="s">
        <v>247</v>
      </c>
      <c r="C35" s="25">
        <v>26</v>
      </c>
      <c r="D35" s="29" t="s">
        <v>337</v>
      </c>
      <c r="E35" s="23"/>
      <c r="F35" s="24"/>
    </row>
    <row r="36" spans="1:6" ht="12.75">
      <c r="A36" s="25">
        <v>29</v>
      </c>
      <c r="B36" s="32" t="s">
        <v>248</v>
      </c>
      <c r="C36" s="25">
        <v>27</v>
      </c>
      <c r="D36" s="29" t="s">
        <v>338</v>
      </c>
      <c r="E36" s="23"/>
      <c r="F36" s="24"/>
    </row>
    <row r="37" spans="1:6" ht="12.75">
      <c r="A37" s="25">
        <v>30</v>
      </c>
      <c r="B37" s="32" t="s">
        <v>249</v>
      </c>
      <c r="C37" s="25">
        <v>28</v>
      </c>
      <c r="D37" s="29" t="s">
        <v>339</v>
      </c>
      <c r="E37" s="23"/>
      <c r="F37" s="24"/>
    </row>
    <row r="38" spans="1:6" ht="12.75">
      <c r="A38" s="25">
        <v>31</v>
      </c>
      <c r="B38" s="30" t="s">
        <v>250</v>
      </c>
      <c r="C38" s="25">
        <v>29</v>
      </c>
      <c r="D38" s="29" t="s">
        <v>340</v>
      </c>
      <c r="E38" s="23"/>
      <c r="F38" s="24"/>
    </row>
    <row r="39" spans="1:6" ht="12.75">
      <c r="A39" s="25">
        <v>32</v>
      </c>
      <c r="B39" s="32" t="s">
        <v>381</v>
      </c>
      <c r="C39" s="25">
        <v>30</v>
      </c>
      <c r="D39" s="29" t="s">
        <v>341</v>
      </c>
      <c r="E39" s="23"/>
      <c r="F39" s="24"/>
    </row>
    <row r="40" spans="1:6" ht="12.75">
      <c r="A40" s="25">
        <v>33</v>
      </c>
      <c r="B40" s="30" t="s">
        <v>251</v>
      </c>
      <c r="D40" s="29"/>
      <c r="E40" s="23"/>
      <c r="F40" s="24"/>
    </row>
    <row r="41" spans="1:6" ht="12.75">
      <c r="A41" s="25">
        <v>34</v>
      </c>
      <c r="B41" s="30" t="s">
        <v>252</v>
      </c>
      <c r="C41" s="25">
        <v>31</v>
      </c>
      <c r="D41" s="27" t="s">
        <v>159</v>
      </c>
      <c r="E41" s="23"/>
      <c r="F41" s="24"/>
    </row>
    <row r="42" spans="1:6" ht="12.75">
      <c r="A42" s="25">
        <v>35</v>
      </c>
      <c r="B42" s="30" t="s">
        <v>253</v>
      </c>
      <c r="C42" s="25">
        <v>32</v>
      </c>
      <c r="D42" s="29" t="s">
        <v>342</v>
      </c>
      <c r="E42" s="23"/>
      <c r="F42" s="24"/>
    </row>
    <row r="43" spans="1:6" ht="12.75">
      <c r="A43" s="25">
        <v>36</v>
      </c>
      <c r="B43" s="30" t="s">
        <v>254</v>
      </c>
      <c r="C43" s="25">
        <v>33</v>
      </c>
      <c r="D43" s="29" t="s">
        <v>343</v>
      </c>
      <c r="E43" s="23"/>
      <c r="F43" s="24"/>
    </row>
    <row r="44" spans="1:6" ht="12.75">
      <c r="A44" s="25">
        <v>37</v>
      </c>
      <c r="B44" s="30" t="s">
        <v>255</v>
      </c>
      <c r="C44" s="25">
        <v>34</v>
      </c>
      <c r="D44" s="29" t="s">
        <v>344</v>
      </c>
      <c r="E44" s="23"/>
      <c r="F44" s="24"/>
    </row>
    <row r="45" spans="1:6" ht="12.75">
      <c r="A45" s="25">
        <v>38</v>
      </c>
      <c r="B45" s="30" t="s">
        <v>256</v>
      </c>
      <c r="C45" s="25">
        <v>35</v>
      </c>
      <c r="D45" s="29" t="s">
        <v>345</v>
      </c>
      <c r="E45" s="23"/>
      <c r="F45" s="24"/>
    </row>
    <row r="46" spans="1:6" ht="12.75">
      <c r="A46" s="25">
        <v>39</v>
      </c>
      <c r="B46" s="30" t="s">
        <v>257</v>
      </c>
      <c r="C46" s="25">
        <v>36</v>
      </c>
      <c r="D46" s="29" t="s">
        <v>346</v>
      </c>
      <c r="E46" s="23"/>
      <c r="F46" s="24"/>
    </row>
    <row r="47" spans="1:6" ht="12.75">
      <c r="A47" s="25">
        <v>40</v>
      </c>
      <c r="B47" s="30" t="s">
        <v>258</v>
      </c>
      <c r="C47" s="45"/>
      <c r="D47" s="29"/>
      <c r="E47" s="23"/>
      <c r="F47" s="24"/>
    </row>
    <row r="48" spans="1:6" ht="12.75">
      <c r="A48" s="25">
        <v>41</v>
      </c>
      <c r="B48" s="30" t="s">
        <v>259</v>
      </c>
      <c r="C48" s="25">
        <v>37</v>
      </c>
      <c r="D48" s="27" t="s">
        <v>158</v>
      </c>
      <c r="E48" s="23"/>
      <c r="F48" s="24"/>
    </row>
    <row r="49" spans="1:6" ht="12.75">
      <c r="A49" s="25">
        <v>42</v>
      </c>
      <c r="B49" s="32" t="s">
        <v>260</v>
      </c>
      <c r="C49" s="25">
        <v>38</v>
      </c>
      <c r="D49" s="29" t="s">
        <v>347</v>
      </c>
      <c r="E49" s="23"/>
      <c r="F49" s="24"/>
    </row>
    <row r="50" spans="1:6" ht="12.75">
      <c r="A50" s="25">
        <v>43</v>
      </c>
      <c r="B50" s="30" t="s">
        <v>261</v>
      </c>
      <c r="C50" s="25">
        <v>39</v>
      </c>
      <c r="D50" s="29" t="s">
        <v>348</v>
      </c>
      <c r="E50" s="23"/>
      <c r="F50" s="24"/>
    </row>
    <row r="51" spans="1:6" ht="12.75">
      <c r="A51" s="25">
        <v>44</v>
      </c>
      <c r="B51" s="30" t="s">
        <v>262</v>
      </c>
      <c r="C51" s="25">
        <v>40</v>
      </c>
      <c r="D51" s="29" t="s">
        <v>349</v>
      </c>
      <c r="E51" s="23"/>
      <c r="F51" s="24"/>
    </row>
    <row r="52" spans="1:6" ht="12.75">
      <c r="A52" s="25">
        <v>45</v>
      </c>
      <c r="B52" s="30" t="s">
        <v>263</v>
      </c>
      <c r="C52" s="25">
        <v>41</v>
      </c>
      <c r="D52" s="29" t="s">
        <v>350</v>
      </c>
      <c r="E52" s="23"/>
      <c r="F52" s="24"/>
    </row>
    <row r="53" spans="1:6" ht="12.75">
      <c r="A53" s="25">
        <v>46</v>
      </c>
      <c r="B53" s="30" t="s">
        <v>264</v>
      </c>
      <c r="C53" s="25">
        <v>42</v>
      </c>
      <c r="D53" s="29" t="s">
        <v>351</v>
      </c>
      <c r="E53" s="23"/>
      <c r="F53" s="24"/>
    </row>
    <row r="54" spans="1:6" ht="12.75">
      <c r="A54" s="25">
        <v>47</v>
      </c>
      <c r="B54" s="30" t="s">
        <v>421</v>
      </c>
      <c r="D54" s="29"/>
      <c r="E54" s="23"/>
      <c r="F54" s="24"/>
    </row>
    <row r="55" spans="1:6" ht="12.75">
      <c r="A55" s="25">
        <v>48</v>
      </c>
      <c r="B55" s="30" t="s">
        <v>422</v>
      </c>
      <c r="C55" s="25">
        <v>43</v>
      </c>
      <c r="D55" s="27" t="s">
        <v>157</v>
      </c>
      <c r="E55" s="23"/>
      <c r="F55" s="24"/>
    </row>
    <row r="56" spans="1:6" ht="12.75">
      <c r="A56" s="25">
        <v>49</v>
      </c>
      <c r="B56" s="30" t="s">
        <v>423</v>
      </c>
      <c r="C56" s="25">
        <v>44</v>
      </c>
      <c r="D56" s="29" t="s">
        <v>352</v>
      </c>
      <c r="E56" s="23"/>
      <c r="F56" s="24"/>
    </row>
    <row r="57" spans="1:6" ht="12.75">
      <c r="A57" s="25">
        <v>50</v>
      </c>
      <c r="B57" s="30" t="s">
        <v>424</v>
      </c>
      <c r="C57" s="25">
        <v>45</v>
      </c>
      <c r="D57" s="29" t="s">
        <v>353</v>
      </c>
      <c r="E57" s="23"/>
      <c r="F57" s="24"/>
    </row>
    <row r="58" spans="1:6" ht="12.75">
      <c r="A58" s="25">
        <v>51</v>
      </c>
      <c r="B58" s="30" t="s">
        <v>425</v>
      </c>
      <c r="C58" s="25">
        <v>46</v>
      </c>
      <c r="D58" s="29" t="s">
        <v>354</v>
      </c>
      <c r="E58" s="23"/>
      <c r="F58" s="24"/>
    </row>
    <row r="59" spans="1:6" ht="12.75">
      <c r="A59" s="25">
        <v>52</v>
      </c>
      <c r="B59" s="30" t="s">
        <v>426</v>
      </c>
      <c r="C59" s="25">
        <v>47</v>
      </c>
      <c r="D59" s="29" t="s">
        <v>355</v>
      </c>
      <c r="E59" s="23"/>
      <c r="F59" s="24"/>
    </row>
    <row r="60" spans="1:6" ht="12.75">
      <c r="A60" s="25">
        <v>53</v>
      </c>
      <c r="B60" s="30" t="s">
        <v>427</v>
      </c>
      <c r="C60" s="25">
        <v>48</v>
      </c>
      <c r="D60" s="29" t="s">
        <v>356</v>
      </c>
      <c r="E60" s="23"/>
      <c r="F60" s="24"/>
    </row>
    <row r="61" spans="1:6" ht="12.75">
      <c r="A61" s="25">
        <v>54</v>
      </c>
      <c r="B61" s="30" t="s">
        <v>428</v>
      </c>
      <c r="D61" s="29"/>
      <c r="E61" s="23"/>
      <c r="F61" s="24"/>
    </row>
    <row r="62" spans="1:6" ht="12.75">
      <c r="A62" s="25">
        <v>55</v>
      </c>
      <c r="B62" s="30" t="s">
        <v>429</v>
      </c>
      <c r="C62" s="25">
        <v>49</v>
      </c>
      <c r="D62" s="27" t="s">
        <v>357</v>
      </c>
      <c r="E62" s="23"/>
      <c r="F62" s="24"/>
    </row>
    <row r="63" spans="1:6" ht="12.75">
      <c r="A63" s="25">
        <v>56</v>
      </c>
      <c r="B63" s="30" t="s">
        <v>430</v>
      </c>
      <c r="C63" s="25">
        <v>50</v>
      </c>
      <c r="D63" s="33" t="s">
        <v>358</v>
      </c>
      <c r="E63" s="23"/>
      <c r="F63" s="24"/>
    </row>
    <row r="64" spans="1:6" ht="14.25" customHeight="1">
      <c r="A64" s="25">
        <v>57</v>
      </c>
      <c r="B64" s="30" t="s">
        <v>431</v>
      </c>
      <c r="C64" s="25">
        <v>51</v>
      </c>
      <c r="D64" s="33" t="s">
        <v>150</v>
      </c>
      <c r="E64" s="23"/>
      <c r="F64" s="24"/>
    </row>
    <row r="65" spans="1:6" ht="12.75">
      <c r="A65" s="25">
        <v>58</v>
      </c>
      <c r="B65" s="30" t="s">
        <v>432</v>
      </c>
      <c r="C65" s="25">
        <v>52</v>
      </c>
      <c r="D65" s="33" t="s">
        <v>151</v>
      </c>
      <c r="E65" s="23"/>
      <c r="F65" s="24"/>
    </row>
    <row r="66" spans="1:6" ht="12.75">
      <c r="A66" s="25">
        <v>59</v>
      </c>
      <c r="B66" s="30" t="s">
        <v>433</v>
      </c>
      <c r="C66" s="25">
        <v>53</v>
      </c>
      <c r="D66" s="33" t="s">
        <v>152</v>
      </c>
      <c r="E66" s="23"/>
      <c r="F66" s="24"/>
    </row>
    <row r="67" spans="1:6" ht="12.75">
      <c r="A67" s="25"/>
      <c r="B67" s="30"/>
      <c r="D67" s="33"/>
      <c r="E67" s="23"/>
      <c r="F67" s="24"/>
    </row>
    <row r="68" spans="1:6" ht="12.75">
      <c r="A68" s="31"/>
      <c r="B68" s="26" t="s">
        <v>409</v>
      </c>
      <c r="C68" s="25">
        <v>54</v>
      </c>
      <c r="D68" s="27" t="s">
        <v>163</v>
      </c>
      <c r="E68" s="23"/>
      <c r="F68" s="24"/>
    </row>
    <row r="69" spans="1:6" ht="12.75">
      <c r="A69" s="31"/>
      <c r="B69" s="28"/>
      <c r="C69" s="25">
        <v>55</v>
      </c>
      <c r="D69" s="33" t="s">
        <v>164</v>
      </c>
      <c r="E69" s="23"/>
      <c r="F69" s="24"/>
    </row>
    <row r="70" spans="1:6" ht="12.75" customHeight="1">
      <c r="A70" s="25">
        <v>60</v>
      </c>
      <c r="B70" s="32" t="s">
        <v>265</v>
      </c>
      <c r="C70" s="25">
        <v>56</v>
      </c>
      <c r="D70" s="29" t="s">
        <v>203</v>
      </c>
      <c r="E70" s="23"/>
      <c r="F70" s="24"/>
    </row>
    <row r="71" spans="1:6" ht="13.5" customHeight="1">
      <c r="A71" s="31">
        <v>61</v>
      </c>
      <c r="B71" s="32" t="s">
        <v>266</v>
      </c>
      <c r="C71" s="25">
        <v>57</v>
      </c>
      <c r="D71" s="29" t="s">
        <v>204</v>
      </c>
      <c r="E71" s="23"/>
      <c r="F71" s="24"/>
    </row>
    <row r="72" spans="1:6" ht="12.75">
      <c r="A72" s="25">
        <v>62</v>
      </c>
      <c r="B72" s="32" t="s">
        <v>267</v>
      </c>
      <c r="D72" s="33"/>
      <c r="E72" s="23"/>
      <c r="F72" s="24"/>
    </row>
    <row r="73" spans="1:6" ht="12.75">
      <c r="A73" s="31">
        <v>63</v>
      </c>
      <c r="B73" s="32" t="s">
        <v>268</v>
      </c>
      <c r="C73" s="25">
        <v>58</v>
      </c>
      <c r="D73" s="27" t="s">
        <v>145</v>
      </c>
      <c r="E73" s="23"/>
      <c r="F73" s="24"/>
    </row>
    <row r="74" spans="1:6" ht="12.75">
      <c r="A74" s="25">
        <v>64</v>
      </c>
      <c r="B74" s="32" t="s">
        <v>269</v>
      </c>
      <c r="C74" s="25">
        <v>59</v>
      </c>
      <c r="D74" s="33" t="s">
        <v>146</v>
      </c>
      <c r="E74" s="23"/>
      <c r="F74" s="24"/>
    </row>
    <row r="75" spans="1:6" ht="12.75">
      <c r="A75" s="31">
        <v>65</v>
      </c>
      <c r="B75" s="32" t="s">
        <v>270</v>
      </c>
      <c r="C75" s="25">
        <v>60</v>
      </c>
      <c r="D75" s="33" t="s">
        <v>147</v>
      </c>
      <c r="E75" s="23"/>
      <c r="F75" s="24"/>
    </row>
    <row r="76" spans="1:6" ht="12.75">
      <c r="A76" s="25">
        <v>66</v>
      </c>
      <c r="B76" s="32" t="s">
        <v>271</v>
      </c>
      <c r="C76" s="25">
        <v>61</v>
      </c>
      <c r="D76" s="33" t="s">
        <v>148</v>
      </c>
      <c r="E76" s="23"/>
      <c r="F76" s="24"/>
    </row>
    <row r="77" spans="1:6" ht="12.75">
      <c r="A77" s="31">
        <v>67</v>
      </c>
      <c r="B77" s="32" t="s">
        <v>272</v>
      </c>
      <c r="C77" s="25">
        <v>62</v>
      </c>
      <c r="D77" s="33" t="s">
        <v>149</v>
      </c>
      <c r="E77" s="23"/>
      <c r="F77" s="24"/>
    </row>
    <row r="78" spans="1:6" ht="12.75">
      <c r="A78" s="25">
        <v>68</v>
      </c>
      <c r="B78" s="32" t="s">
        <v>273</v>
      </c>
      <c r="C78" s="25">
        <v>63</v>
      </c>
      <c r="D78" s="29" t="s">
        <v>187</v>
      </c>
      <c r="E78" s="23"/>
      <c r="F78" s="24"/>
    </row>
    <row r="79" spans="1:6" ht="12.75">
      <c r="A79" s="31">
        <v>69</v>
      </c>
      <c r="B79" s="32" t="s">
        <v>274</v>
      </c>
      <c r="C79" s="25">
        <v>64</v>
      </c>
      <c r="D79" s="33" t="s">
        <v>188</v>
      </c>
      <c r="E79" s="23"/>
      <c r="F79" s="24"/>
    </row>
    <row r="80" spans="1:6" ht="12.75">
      <c r="A80" s="25">
        <v>70</v>
      </c>
      <c r="B80" s="32" t="s">
        <v>275</v>
      </c>
      <c r="C80" s="25">
        <v>65</v>
      </c>
      <c r="D80" s="33" t="s">
        <v>193</v>
      </c>
      <c r="E80" s="23"/>
      <c r="F80" s="24"/>
    </row>
    <row r="81" spans="1:6" ht="12.75">
      <c r="A81" s="31">
        <v>71</v>
      </c>
      <c r="B81" s="32" t="s">
        <v>276</v>
      </c>
      <c r="C81" s="25">
        <v>66</v>
      </c>
      <c r="D81" s="33" t="s">
        <v>189</v>
      </c>
      <c r="E81" s="23"/>
      <c r="F81" s="24"/>
    </row>
    <row r="82" spans="1:6" ht="12" customHeight="1">
      <c r="A82" s="25">
        <v>72</v>
      </c>
      <c r="B82" s="32" t="s">
        <v>277</v>
      </c>
      <c r="C82" s="25">
        <v>67</v>
      </c>
      <c r="D82" s="33" t="s">
        <v>190</v>
      </c>
      <c r="E82" s="23"/>
      <c r="F82" s="24"/>
    </row>
    <row r="83" spans="1:6" ht="12.75" customHeight="1">
      <c r="A83" s="31">
        <v>73</v>
      </c>
      <c r="B83" s="32" t="s">
        <v>278</v>
      </c>
      <c r="C83" s="25">
        <v>68</v>
      </c>
      <c r="D83" s="33" t="s">
        <v>191</v>
      </c>
      <c r="E83" s="23"/>
      <c r="F83" s="24"/>
    </row>
    <row r="84" spans="1:6" ht="12.75">
      <c r="A84" s="25">
        <v>74</v>
      </c>
      <c r="B84" s="32" t="s">
        <v>279</v>
      </c>
      <c r="C84" s="25">
        <v>69</v>
      </c>
      <c r="D84" s="33" t="s">
        <v>192</v>
      </c>
      <c r="E84" s="23"/>
      <c r="F84" s="24"/>
    </row>
    <row r="85" spans="1:6" ht="12.75">
      <c r="A85" s="31">
        <v>75</v>
      </c>
      <c r="B85" s="32" t="s">
        <v>280</v>
      </c>
      <c r="C85" s="25">
        <v>70</v>
      </c>
      <c r="D85" s="29" t="s">
        <v>195</v>
      </c>
      <c r="E85" s="23"/>
      <c r="F85" s="24"/>
    </row>
    <row r="86" spans="1:6" ht="12.75">
      <c r="A86" s="25">
        <v>76</v>
      </c>
      <c r="B86" s="32" t="s">
        <v>281</v>
      </c>
      <c r="C86" s="25">
        <v>71</v>
      </c>
      <c r="D86" s="29" t="s">
        <v>196</v>
      </c>
      <c r="E86" s="23"/>
      <c r="F86" s="24"/>
    </row>
    <row r="87" spans="1:6" ht="12.75">
      <c r="A87" s="31">
        <v>77</v>
      </c>
      <c r="B87" s="32" t="s">
        <v>282</v>
      </c>
      <c r="C87" s="25">
        <v>72</v>
      </c>
      <c r="D87" s="29" t="s">
        <v>209</v>
      </c>
      <c r="E87" s="23"/>
      <c r="F87" s="24"/>
    </row>
    <row r="88" spans="1:6" ht="12.75">
      <c r="A88" s="25"/>
      <c r="B88" s="34"/>
      <c r="C88" s="25">
        <v>73</v>
      </c>
      <c r="D88" s="29" t="s">
        <v>208</v>
      </c>
      <c r="E88" s="23"/>
      <c r="F88" s="24"/>
    </row>
    <row r="89" spans="1:6" ht="12.75">
      <c r="A89" s="25"/>
      <c r="B89" s="26" t="s">
        <v>410</v>
      </c>
      <c r="C89" s="25">
        <v>74</v>
      </c>
      <c r="D89" s="29" t="s">
        <v>207</v>
      </c>
      <c r="E89" s="23"/>
      <c r="F89" s="24"/>
    </row>
    <row r="90" spans="1:6" ht="12.75">
      <c r="A90" s="25"/>
      <c r="B90" s="26"/>
      <c r="C90" s="25">
        <v>75</v>
      </c>
      <c r="D90" s="29" t="s">
        <v>206</v>
      </c>
      <c r="E90" s="23"/>
      <c r="F90" s="24"/>
    </row>
    <row r="91" spans="1:6" ht="12.75">
      <c r="A91" s="25">
        <v>78</v>
      </c>
      <c r="B91" s="32" t="s">
        <v>434</v>
      </c>
      <c r="C91" s="25">
        <v>76</v>
      </c>
      <c r="D91" s="29" t="s">
        <v>205</v>
      </c>
      <c r="E91" s="23"/>
      <c r="F91" s="24"/>
    </row>
    <row r="92" spans="1:6" ht="12.75">
      <c r="A92" s="25">
        <v>79</v>
      </c>
      <c r="B92" s="32" t="s">
        <v>435</v>
      </c>
      <c r="C92" s="25"/>
      <c r="D92" s="29"/>
      <c r="E92" s="23"/>
      <c r="F92" s="24"/>
    </row>
    <row r="93" spans="1:6" ht="14.25" customHeight="1">
      <c r="A93" s="25">
        <v>80</v>
      </c>
      <c r="B93" s="32" t="s">
        <v>436</v>
      </c>
      <c r="C93" s="25">
        <v>77</v>
      </c>
      <c r="D93" s="27" t="s">
        <v>359</v>
      </c>
      <c r="E93" s="23"/>
      <c r="F93" s="24"/>
    </row>
    <row r="94" spans="1:6" ht="12.75">
      <c r="A94" s="25">
        <v>81</v>
      </c>
      <c r="B94" s="32" t="s">
        <v>437</v>
      </c>
      <c r="C94" s="25">
        <v>78</v>
      </c>
      <c r="D94" s="33" t="s">
        <v>360</v>
      </c>
      <c r="E94" s="23"/>
      <c r="F94" s="24"/>
    </row>
    <row r="95" spans="1:6" ht="12.75">
      <c r="A95" s="25">
        <v>82</v>
      </c>
      <c r="B95" s="32" t="s">
        <v>283</v>
      </c>
      <c r="C95" s="25">
        <v>79</v>
      </c>
      <c r="D95" s="33" t="s">
        <v>361</v>
      </c>
      <c r="E95" s="23"/>
      <c r="F95" s="24"/>
    </row>
    <row r="96" spans="1:6" ht="25.5">
      <c r="A96" s="25">
        <v>83</v>
      </c>
      <c r="B96" s="32" t="s">
        <v>284</v>
      </c>
      <c r="C96" s="25">
        <v>80</v>
      </c>
      <c r="D96" s="33" t="s">
        <v>362</v>
      </c>
      <c r="E96" s="23"/>
      <c r="F96" s="24"/>
    </row>
    <row r="97" spans="1:6" ht="12.75">
      <c r="A97" s="25">
        <v>84</v>
      </c>
      <c r="B97" s="32" t="s">
        <v>285</v>
      </c>
      <c r="C97" s="25">
        <v>81</v>
      </c>
      <c r="D97" s="33" t="s">
        <v>363</v>
      </c>
      <c r="E97" s="23"/>
      <c r="F97" s="24"/>
    </row>
    <row r="98" spans="1:6" ht="12.75">
      <c r="A98" s="25">
        <v>85</v>
      </c>
      <c r="B98" s="32" t="s">
        <v>286</v>
      </c>
      <c r="D98" s="33"/>
      <c r="E98" s="23"/>
      <c r="F98" s="24"/>
    </row>
    <row r="99" spans="1:6" ht="12.75">
      <c r="A99" s="25">
        <v>86</v>
      </c>
      <c r="B99" s="32" t="s">
        <v>287</v>
      </c>
      <c r="C99" s="25">
        <v>82</v>
      </c>
      <c r="D99" s="27" t="s">
        <v>160</v>
      </c>
      <c r="E99" s="23"/>
      <c r="F99" s="24"/>
    </row>
    <row r="100" spans="1:6" ht="12.75">
      <c r="A100" s="25">
        <v>87</v>
      </c>
      <c r="B100" s="32" t="s">
        <v>288</v>
      </c>
      <c r="C100" s="25">
        <v>83</v>
      </c>
      <c r="D100" s="33" t="s">
        <v>364</v>
      </c>
      <c r="E100" s="23"/>
      <c r="F100" s="24"/>
    </row>
    <row r="101" spans="1:6" ht="12.75">
      <c r="A101" s="25">
        <v>88</v>
      </c>
      <c r="B101" s="32" t="s">
        <v>289</v>
      </c>
      <c r="C101" s="25">
        <v>84</v>
      </c>
      <c r="D101" s="33" t="s">
        <v>365</v>
      </c>
      <c r="E101" s="23"/>
      <c r="F101" s="24"/>
    </row>
    <row r="102" spans="1:6" ht="25.5">
      <c r="A102" s="25">
        <v>89</v>
      </c>
      <c r="B102" s="32" t="s">
        <v>290</v>
      </c>
      <c r="C102" s="25">
        <v>85</v>
      </c>
      <c r="D102" s="33" t="s">
        <v>366</v>
      </c>
      <c r="E102" s="23"/>
      <c r="F102" s="24"/>
    </row>
    <row r="103" spans="1:6" ht="12.75">
      <c r="A103" s="25">
        <v>90</v>
      </c>
      <c r="B103" s="32" t="s">
        <v>291</v>
      </c>
      <c r="C103" s="25">
        <v>86</v>
      </c>
      <c r="D103" s="33" t="s">
        <v>367</v>
      </c>
      <c r="E103" s="23"/>
      <c r="F103" s="24"/>
    </row>
    <row r="104" spans="1:6" ht="12.75">
      <c r="A104" s="25">
        <v>91</v>
      </c>
      <c r="B104" s="32" t="s">
        <v>292</v>
      </c>
      <c r="C104" s="25">
        <v>87</v>
      </c>
      <c r="D104" s="29" t="s">
        <v>368</v>
      </c>
      <c r="E104" s="23"/>
      <c r="F104" s="24"/>
    </row>
    <row r="105" spans="1:6" ht="12.75">
      <c r="A105" s="25">
        <v>92</v>
      </c>
      <c r="B105" s="32" t="s">
        <v>293</v>
      </c>
      <c r="C105" s="25">
        <v>88</v>
      </c>
      <c r="D105" s="33" t="s">
        <v>369</v>
      </c>
      <c r="E105" s="23"/>
      <c r="F105" s="24"/>
    </row>
    <row r="106" spans="1:6" ht="12.75">
      <c r="A106" s="25">
        <v>93</v>
      </c>
      <c r="B106" s="32" t="s">
        <v>294</v>
      </c>
      <c r="C106" s="25">
        <v>89</v>
      </c>
      <c r="D106" s="33" t="s">
        <v>193</v>
      </c>
      <c r="E106" s="23"/>
      <c r="F106" s="24"/>
    </row>
    <row r="107" spans="1:6" ht="12.75">
      <c r="A107" s="25">
        <v>94</v>
      </c>
      <c r="B107" s="32" t="s">
        <v>295</v>
      </c>
      <c r="C107" s="25">
        <v>90</v>
      </c>
      <c r="D107" s="33" t="s">
        <v>162</v>
      </c>
      <c r="E107" s="23"/>
      <c r="F107" s="24"/>
    </row>
    <row r="108" spans="1:6" ht="12.75">
      <c r="A108" s="25">
        <v>95</v>
      </c>
      <c r="B108" s="32" t="s">
        <v>296</v>
      </c>
      <c r="C108" s="25">
        <v>91</v>
      </c>
      <c r="D108" s="33" t="s">
        <v>165</v>
      </c>
      <c r="E108" s="23"/>
      <c r="F108" s="24"/>
    </row>
    <row r="109" spans="1:6" ht="12.75">
      <c r="A109" s="25">
        <v>96</v>
      </c>
      <c r="B109" s="32" t="s">
        <v>297</v>
      </c>
      <c r="C109" s="25">
        <v>92</v>
      </c>
      <c r="D109" s="33" t="s">
        <v>370</v>
      </c>
      <c r="E109" s="23"/>
      <c r="F109" s="24"/>
    </row>
    <row r="110" spans="1:6" ht="12.75">
      <c r="A110" s="25">
        <v>97</v>
      </c>
      <c r="B110" s="32" t="s">
        <v>298</v>
      </c>
      <c r="C110" s="25">
        <v>93</v>
      </c>
      <c r="D110" s="33" t="s">
        <v>371</v>
      </c>
      <c r="E110" s="23"/>
      <c r="F110" s="24"/>
    </row>
    <row r="111" spans="1:6" ht="12.75">
      <c r="A111" s="25">
        <v>98</v>
      </c>
      <c r="B111" s="32" t="s">
        <v>299</v>
      </c>
      <c r="C111" s="25">
        <v>94</v>
      </c>
      <c r="D111" s="29" t="s">
        <v>197</v>
      </c>
      <c r="E111" s="23"/>
      <c r="F111" s="24"/>
    </row>
    <row r="112" spans="1:6" ht="12.75">
      <c r="A112" s="25">
        <v>99</v>
      </c>
      <c r="B112" s="32" t="s">
        <v>300</v>
      </c>
      <c r="C112" s="25">
        <v>95</v>
      </c>
      <c r="D112" s="29" t="s">
        <v>198</v>
      </c>
      <c r="E112" s="23"/>
      <c r="F112" s="24"/>
    </row>
    <row r="113" spans="1:6" ht="12.75">
      <c r="A113" s="25">
        <v>100</v>
      </c>
      <c r="B113" s="32" t="s">
        <v>301</v>
      </c>
      <c r="C113" s="25">
        <v>96</v>
      </c>
      <c r="D113" s="29" t="s">
        <v>210</v>
      </c>
      <c r="E113" s="23"/>
      <c r="F113" s="24"/>
    </row>
    <row r="114" spans="1:6" ht="12.75">
      <c r="A114" s="25">
        <v>101</v>
      </c>
      <c r="B114" s="32" t="s">
        <v>302</v>
      </c>
      <c r="C114" s="25">
        <v>97</v>
      </c>
      <c r="D114" s="29" t="s">
        <v>211</v>
      </c>
      <c r="E114" s="23"/>
      <c r="F114" s="24"/>
    </row>
    <row r="115" spans="1:6" ht="12.75">
      <c r="A115" s="25">
        <v>102</v>
      </c>
      <c r="B115" s="32" t="s">
        <v>438</v>
      </c>
      <c r="C115" s="25">
        <v>98</v>
      </c>
      <c r="D115" s="29" t="s">
        <v>212</v>
      </c>
      <c r="E115" s="23"/>
      <c r="F115" s="24"/>
    </row>
    <row r="116" spans="1:6" ht="12.75">
      <c r="A116" s="25">
        <v>103</v>
      </c>
      <c r="B116" s="32" t="s">
        <v>439</v>
      </c>
      <c r="C116" s="25">
        <v>99</v>
      </c>
      <c r="D116" s="29" t="s">
        <v>213</v>
      </c>
      <c r="E116" s="23"/>
      <c r="F116" s="24"/>
    </row>
    <row r="117" spans="1:6" ht="12.75">
      <c r="A117" s="25">
        <v>104</v>
      </c>
      <c r="B117" s="32" t="s">
        <v>440</v>
      </c>
      <c r="C117" s="25">
        <v>100</v>
      </c>
      <c r="D117" s="29" t="s">
        <v>214</v>
      </c>
      <c r="E117" s="23"/>
      <c r="F117" s="24"/>
    </row>
    <row r="118" spans="1:6" ht="12.75">
      <c r="A118" s="25"/>
      <c r="B118" s="30"/>
      <c r="D118" s="33"/>
      <c r="E118" s="23"/>
      <c r="F118" s="24"/>
    </row>
    <row r="119" spans="1:6" ht="12.75">
      <c r="A119" s="25"/>
      <c r="B119" s="26" t="s">
        <v>411</v>
      </c>
      <c r="C119" s="25">
        <v>101</v>
      </c>
      <c r="D119" s="27" t="s">
        <v>182</v>
      </c>
      <c r="E119" s="23"/>
      <c r="F119" s="24"/>
    </row>
    <row r="120" spans="1:6" ht="12.75">
      <c r="A120" s="25"/>
      <c r="B120" s="30"/>
      <c r="C120" s="25">
        <v>102</v>
      </c>
      <c r="D120" s="29" t="s">
        <v>166</v>
      </c>
      <c r="E120" s="23"/>
      <c r="F120" s="24"/>
    </row>
    <row r="121" spans="1:6" ht="12.75">
      <c r="A121" s="25">
        <v>105</v>
      </c>
      <c r="B121" s="37" t="s">
        <v>382</v>
      </c>
      <c r="C121" s="25">
        <v>103</v>
      </c>
      <c r="D121" s="33" t="s">
        <v>167</v>
      </c>
      <c r="E121" s="23"/>
      <c r="F121" s="24"/>
    </row>
    <row r="122" spans="1:6" ht="12.75">
      <c r="A122" s="25">
        <v>106</v>
      </c>
      <c r="B122" s="37" t="s">
        <v>383</v>
      </c>
      <c r="C122" s="25">
        <v>104</v>
      </c>
      <c r="D122" s="33" t="s">
        <v>168</v>
      </c>
      <c r="E122" s="23"/>
      <c r="F122" s="24"/>
    </row>
    <row r="123" spans="1:6" ht="12.75">
      <c r="A123" s="25">
        <v>107</v>
      </c>
      <c r="B123" s="37" t="s">
        <v>384</v>
      </c>
      <c r="C123" s="25">
        <v>105</v>
      </c>
      <c r="D123" s="29" t="s">
        <v>169</v>
      </c>
      <c r="E123" s="23"/>
      <c r="F123" s="24"/>
    </row>
    <row r="124" spans="1:6" ht="12.75">
      <c r="A124" s="25">
        <v>108</v>
      </c>
      <c r="B124" s="37" t="s">
        <v>385</v>
      </c>
      <c r="C124" s="25">
        <v>106</v>
      </c>
      <c r="D124" s="33" t="s">
        <v>170</v>
      </c>
      <c r="E124" s="23"/>
      <c r="F124" s="24"/>
    </row>
    <row r="125" spans="1:6" ht="12.75">
      <c r="A125" s="25">
        <v>109</v>
      </c>
      <c r="B125" s="37" t="s">
        <v>386</v>
      </c>
      <c r="C125" s="25">
        <v>107</v>
      </c>
      <c r="D125" s="33" t="s">
        <v>171</v>
      </c>
      <c r="E125" s="23"/>
      <c r="F125" s="24"/>
    </row>
    <row r="126" spans="1:6" ht="12.75">
      <c r="A126" s="25">
        <v>110</v>
      </c>
      <c r="B126" s="37" t="s">
        <v>387</v>
      </c>
      <c r="C126" s="25">
        <v>108</v>
      </c>
      <c r="D126" s="33" t="s">
        <v>172</v>
      </c>
      <c r="E126" s="23"/>
      <c r="F126" s="24"/>
    </row>
    <row r="127" spans="1:6" ht="12.75">
      <c r="A127" s="25">
        <v>111</v>
      </c>
      <c r="B127" s="37" t="s">
        <v>388</v>
      </c>
      <c r="C127" s="25">
        <v>109</v>
      </c>
      <c r="D127" s="33" t="s">
        <v>173</v>
      </c>
      <c r="E127" s="23"/>
      <c r="F127" s="24"/>
    </row>
    <row r="128" spans="1:6" ht="12.75" customHeight="1">
      <c r="A128" s="25">
        <v>112</v>
      </c>
      <c r="B128" s="37" t="s">
        <v>389</v>
      </c>
      <c r="C128" s="25">
        <v>110</v>
      </c>
      <c r="D128" s="33" t="s">
        <v>174</v>
      </c>
      <c r="E128" s="23"/>
      <c r="F128" s="24"/>
    </row>
    <row r="129" spans="1:6" ht="12.75">
      <c r="A129" s="25">
        <v>113</v>
      </c>
      <c r="B129" s="37" t="s">
        <v>390</v>
      </c>
      <c r="C129" s="25">
        <v>111</v>
      </c>
      <c r="D129" s="33" t="s">
        <v>175</v>
      </c>
      <c r="E129" s="23"/>
      <c r="F129" s="24"/>
    </row>
    <row r="130" spans="1:6" ht="12.75">
      <c r="A130" s="25">
        <v>114</v>
      </c>
      <c r="B130" s="37" t="s">
        <v>391</v>
      </c>
      <c r="C130" s="25">
        <v>112</v>
      </c>
      <c r="D130" s="29" t="s">
        <v>176</v>
      </c>
      <c r="E130" s="23"/>
      <c r="F130" s="24"/>
    </row>
    <row r="131" spans="1:6" ht="12.75">
      <c r="A131" s="25">
        <v>115</v>
      </c>
      <c r="B131" s="37" t="s">
        <v>392</v>
      </c>
      <c r="C131" s="25">
        <v>113</v>
      </c>
      <c r="D131" s="33" t="s">
        <v>177</v>
      </c>
      <c r="E131" s="23"/>
      <c r="F131" s="24"/>
    </row>
    <row r="132" spans="1:6" ht="12.75">
      <c r="A132" s="25">
        <v>116</v>
      </c>
      <c r="B132" s="37" t="s">
        <v>393</v>
      </c>
      <c r="C132" s="25">
        <v>114</v>
      </c>
      <c r="D132" s="33" t="s">
        <v>178</v>
      </c>
      <c r="E132" s="23"/>
      <c r="F132" s="24"/>
    </row>
    <row r="133" spans="1:6" ht="12.75">
      <c r="A133" s="25">
        <v>117</v>
      </c>
      <c r="B133" s="37" t="s">
        <v>394</v>
      </c>
      <c r="C133" s="25">
        <v>115</v>
      </c>
      <c r="D133" s="33" t="s">
        <v>179</v>
      </c>
      <c r="E133" s="23"/>
      <c r="F133" s="24"/>
    </row>
    <row r="134" spans="1:6" ht="12.75">
      <c r="A134" s="25">
        <v>118</v>
      </c>
      <c r="B134" s="32" t="s">
        <v>395</v>
      </c>
      <c r="C134" s="25">
        <v>116</v>
      </c>
      <c r="D134" s="33" t="s">
        <v>180</v>
      </c>
      <c r="E134" s="23"/>
      <c r="F134" s="24"/>
    </row>
    <row r="135" spans="1:6" ht="25.5">
      <c r="A135" s="35"/>
      <c r="B135" s="36"/>
      <c r="C135" s="25">
        <v>117</v>
      </c>
      <c r="D135" s="33" t="s">
        <v>181</v>
      </c>
      <c r="E135" s="23"/>
      <c r="F135" s="24"/>
    </row>
    <row r="136" spans="1:6" ht="12.75">
      <c r="A136" s="35"/>
      <c r="B136" s="38" t="s">
        <v>412</v>
      </c>
      <c r="C136" s="25">
        <v>118</v>
      </c>
      <c r="D136" s="29" t="s">
        <v>199</v>
      </c>
      <c r="E136" s="23"/>
      <c r="F136" s="24"/>
    </row>
    <row r="137" spans="1:6" ht="12.75">
      <c r="A137" s="35"/>
      <c r="B137" s="36"/>
      <c r="C137" s="25">
        <v>119</v>
      </c>
      <c r="D137" s="29" t="s">
        <v>200</v>
      </c>
      <c r="E137" s="23"/>
      <c r="F137" s="24"/>
    </row>
    <row r="138" spans="1:6" ht="12.75">
      <c r="A138" s="25">
        <v>119</v>
      </c>
      <c r="B138" s="36" t="s">
        <v>413</v>
      </c>
      <c r="C138" s="25">
        <v>120</v>
      </c>
      <c r="D138" s="29" t="s">
        <v>201</v>
      </c>
      <c r="E138" s="23"/>
      <c r="F138" s="24"/>
    </row>
    <row r="139" spans="1:6" ht="12.75">
      <c r="A139" s="25">
        <v>120</v>
      </c>
      <c r="B139" s="30" t="s">
        <v>303</v>
      </c>
      <c r="C139" s="25">
        <v>121</v>
      </c>
      <c r="D139" s="29" t="s">
        <v>202</v>
      </c>
      <c r="E139" s="23"/>
      <c r="F139" s="24"/>
    </row>
    <row r="140" spans="1:6" ht="12.75">
      <c r="A140" s="25">
        <v>121</v>
      </c>
      <c r="B140" s="30" t="s">
        <v>304</v>
      </c>
      <c r="C140" s="25">
        <v>122</v>
      </c>
      <c r="D140" s="29" t="s">
        <v>215</v>
      </c>
      <c r="E140" s="23"/>
      <c r="F140" s="24"/>
    </row>
    <row r="141" spans="1:6" ht="12.75">
      <c r="A141" s="25">
        <v>122</v>
      </c>
      <c r="B141" s="30" t="s">
        <v>305</v>
      </c>
      <c r="C141" s="25">
        <v>123</v>
      </c>
      <c r="D141" s="29" t="s">
        <v>216</v>
      </c>
      <c r="E141" s="23"/>
      <c r="F141" s="24"/>
    </row>
    <row r="142" spans="1:6" ht="12.75">
      <c r="A142" s="25">
        <v>123</v>
      </c>
      <c r="B142" s="32" t="s">
        <v>306</v>
      </c>
      <c r="C142" s="25">
        <v>124</v>
      </c>
      <c r="D142" s="29" t="s">
        <v>217</v>
      </c>
      <c r="E142" s="23"/>
      <c r="F142" s="24"/>
    </row>
    <row r="143" spans="1:6" ht="12.75">
      <c r="A143" s="25">
        <v>124</v>
      </c>
      <c r="B143" s="32" t="s">
        <v>307</v>
      </c>
      <c r="C143" s="25">
        <v>125</v>
      </c>
      <c r="D143" s="29" t="s">
        <v>218</v>
      </c>
      <c r="E143" s="23"/>
      <c r="F143" s="24"/>
    </row>
    <row r="144" spans="1:6" ht="12.75">
      <c r="A144" s="25">
        <v>125</v>
      </c>
      <c r="B144" s="32" t="s">
        <v>308</v>
      </c>
      <c r="C144" s="25">
        <v>126</v>
      </c>
      <c r="D144" s="29" t="s">
        <v>219</v>
      </c>
      <c r="E144" s="23"/>
      <c r="F144" s="24"/>
    </row>
    <row r="145" spans="1:6" ht="12.75">
      <c r="A145" s="25">
        <v>126</v>
      </c>
      <c r="B145" s="32" t="s">
        <v>309</v>
      </c>
      <c r="C145" s="25">
        <v>127</v>
      </c>
      <c r="D145" s="29" t="s">
        <v>220</v>
      </c>
      <c r="E145" s="23"/>
      <c r="F145" s="24"/>
    </row>
    <row r="146" spans="1:6" ht="12.75">
      <c r="A146" s="25">
        <v>127</v>
      </c>
      <c r="B146" s="32" t="s">
        <v>310</v>
      </c>
      <c r="C146" s="25">
        <v>128</v>
      </c>
      <c r="D146" s="29" t="s">
        <v>221</v>
      </c>
      <c r="E146" s="23"/>
      <c r="F146" s="24"/>
    </row>
    <row r="147" spans="1:6" ht="12.75">
      <c r="A147" s="25">
        <v>128</v>
      </c>
      <c r="B147" s="32" t="s">
        <v>311</v>
      </c>
      <c r="C147" s="25">
        <v>129</v>
      </c>
      <c r="D147" s="29" t="s">
        <v>222</v>
      </c>
      <c r="E147" s="23"/>
      <c r="F147" s="24"/>
    </row>
    <row r="148" spans="1:6" ht="12.75">
      <c r="A148" s="25">
        <v>129</v>
      </c>
      <c r="B148" s="32" t="s">
        <v>312</v>
      </c>
      <c r="C148" s="25">
        <v>130</v>
      </c>
      <c r="D148" s="29" t="s">
        <v>223</v>
      </c>
      <c r="E148" s="23"/>
      <c r="F148" s="24"/>
    </row>
    <row r="149" spans="1:6" ht="12.75">
      <c r="A149" s="25">
        <v>130</v>
      </c>
      <c r="B149" s="30" t="s">
        <v>313</v>
      </c>
      <c r="C149" s="25">
        <v>131</v>
      </c>
      <c r="D149" s="29" t="s">
        <v>224</v>
      </c>
      <c r="E149" s="23"/>
      <c r="F149" s="24"/>
    </row>
    <row r="150" spans="1:6" ht="12.75">
      <c r="A150" s="25">
        <v>131</v>
      </c>
      <c r="B150" s="30" t="s">
        <v>314</v>
      </c>
      <c r="C150" s="25">
        <v>132</v>
      </c>
      <c r="D150" s="29" t="s">
        <v>225</v>
      </c>
      <c r="E150" s="23"/>
      <c r="F150" s="24"/>
    </row>
    <row r="151" spans="1:6" ht="12.75">
      <c r="A151" s="25">
        <v>132</v>
      </c>
      <c r="B151" s="30" t="s">
        <v>315</v>
      </c>
      <c r="C151" s="25">
        <v>133</v>
      </c>
      <c r="D151" s="29" t="s">
        <v>226</v>
      </c>
      <c r="E151" s="23"/>
      <c r="F151" s="24"/>
    </row>
    <row r="152" spans="1:6" ht="12.75">
      <c r="A152" s="35"/>
      <c r="D152" s="33"/>
      <c r="E152" s="23"/>
      <c r="F152" s="24"/>
    </row>
    <row r="153" spans="1:6" ht="25.5">
      <c r="A153" s="35"/>
      <c r="C153" s="25">
        <v>134</v>
      </c>
      <c r="D153" s="27" t="s">
        <v>183</v>
      </c>
      <c r="E153" s="23"/>
      <c r="F153" s="24"/>
    </row>
    <row r="154" spans="1:6" ht="25.5">
      <c r="A154" s="35"/>
      <c r="C154" s="25">
        <v>135</v>
      </c>
      <c r="D154" s="33" t="s">
        <v>184</v>
      </c>
      <c r="E154" s="23"/>
      <c r="F154" s="24"/>
    </row>
    <row r="155" spans="1:6" ht="12.75">
      <c r="A155" s="35"/>
      <c r="B155" s="36"/>
      <c r="C155" s="25">
        <v>136</v>
      </c>
      <c r="D155" s="33" t="s">
        <v>186</v>
      </c>
      <c r="E155" s="23"/>
      <c r="F155" s="24"/>
    </row>
    <row r="156" spans="1:6" ht="12.75">
      <c r="A156" s="35"/>
      <c r="B156" s="36"/>
      <c r="C156" s="25">
        <v>137</v>
      </c>
      <c r="D156" s="33" t="s">
        <v>185</v>
      </c>
      <c r="E156" s="23"/>
      <c r="F156" s="24"/>
    </row>
    <row r="157" spans="1:6" ht="12.75">
      <c r="A157" s="35"/>
      <c r="B157" s="36"/>
      <c r="D157" s="33"/>
      <c r="E157" s="23"/>
      <c r="F157" s="24"/>
    </row>
    <row r="158" spans="1:6" ht="12.75">
      <c r="A158" s="35"/>
      <c r="B158" s="36"/>
      <c r="C158" s="25">
        <v>139</v>
      </c>
      <c r="D158" s="33" t="s">
        <v>372</v>
      </c>
      <c r="E158" s="23"/>
      <c r="F158" s="24"/>
    </row>
    <row r="159" spans="1:6" ht="12.75">
      <c r="A159" s="35"/>
      <c r="B159" s="36"/>
      <c r="C159" s="25">
        <v>140</v>
      </c>
      <c r="D159" s="33" t="s">
        <v>373</v>
      </c>
      <c r="E159" s="23"/>
      <c r="F159" s="24"/>
    </row>
    <row r="160" spans="1:6" ht="12.75">
      <c r="A160" s="35"/>
      <c r="B160" s="36"/>
      <c r="C160" s="25">
        <v>141</v>
      </c>
      <c r="D160" s="33" t="s">
        <v>374</v>
      </c>
      <c r="E160" s="23"/>
      <c r="F160" s="24"/>
    </row>
    <row r="161" spans="1:6" ht="12.75">
      <c r="A161" s="35"/>
      <c r="B161" s="36"/>
      <c r="C161" s="25">
        <v>142</v>
      </c>
      <c r="D161" s="33" t="s">
        <v>375</v>
      </c>
      <c r="E161" s="23"/>
      <c r="F161" s="24"/>
    </row>
    <row r="162" spans="1:6" ht="12.75">
      <c r="A162" s="35"/>
      <c r="B162" s="36"/>
      <c r="C162" s="25">
        <v>143</v>
      </c>
      <c r="D162" s="33" t="s">
        <v>376</v>
      </c>
      <c r="E162" s="23"/>
      <c r="F162" s="24"/>
    </row>
    <row r="163" spans="1:6" ht="12.75">
      <c r="A163" s="35"/>
      <c r="B163" s="36"/>
      <c r="C163" s="25">
        <v>144</v>
      </c>
      <c r="D163" s="33" t="s">
        <v>377</v>
      </c>
      <c r="E163" s="23"/>
      <c r="F163" s="24"/>
    </row>
    <row r="164" spans="1:6" ht="12.75">
      <c r="A164" s="39"/>
      <c r="B164" s="40"/>
      <c r="C164" s="41"/>
      <c r="D164" s="42"/>
      <c r="E164" s="43"/>
      <c r="F164" s="44"/>
    </row>
    <row r="215" ht="14.25" customHeight="1"/>
    <row r="216" ht="14.25" customHeight="1"/>
    <row r="220" spans="11:12" ht="12.75">
      <c r="K220" s="9"/>
      <c r="L220" s="9"/>
    </row>
    <row r="274" ht="12.75">
      <c r="L274" s="8"/>
    </row>
    <row r="275" ht="12.75">
      <c r="H275" s="2"/>
    </row>
    <row r="276" ht="12.75">
      <c r="H276" s="3"/>
    </row>
    <row r="277" ht="12.75">
      <c r="H277" s="3"/>
    </row>
    <row r="278" ht="12.75">
      <c r="H278" s="3"/>
    </row>
    <row r="279" ht="12.75">
      <c r="H279" s="3"/>
    </row>
    <row r="280" ht="12.75">
      <c r="H280" s="3"/>
    </row>
    <row r="281" ht="12.75">
      <c r="H281" s="3"/>
    </row>
    <row r="282" ht="12.75">
      <c r="H282" s="3"/>
    </row>
    <row r="283" ht="12.75">
      <c r="H283" s="3"/>
    </row>
    <row r="284" ht="12.75">
      <c r="H284" s="3"/>
    </row>
    <row r="285" ht="12.75">
      <c r="H285" s="3"/>
    </row>
    <row r="286" ht="12.75">
      <c r="H286" s="3"/>
    </row>
    <row r="288" spans="2:9" ht="12.75">
      <c r="B288" s="12"/>
      <c r="H288" s="4"/>
      <c r="I288" s="5"/>
    </row>
    <row r="289" spans="8:9" ht="12.75">
      <c r="H289" s="5"/>
      <c r="I289" s="5"/>
    </row>
    <row r="290" spans="8:9" ht="12.75">
      <c r="H290" s="5"/>
      <c r="I290" s="6"/>
    </row>
    <row r="291" spans="8:9" ht="12.75">
      <c r="H291" s="5"/>
      <c r="I291" s="6"/>
    </row>
    <row r="292" spans="8:9" ht="12.75">
      <c r="H292" s="5"/>
      <c r="I292" s="6"/>
    </row>
    <row r="293" spans="8:10" ht="12.75">
      <c r="H293" s="4"/>
      <c r="I293" s="5"/>
      <c r="J293" s="5"/>
    </row>
    <row r="294" spans="8:10" ht="12.75">
      <c r="H294" s="4"/>
      <c r="I294" s="6"/>
      <c r="J294" s="6"/>
    </row>
    <row r="295" spans="8:10" ht="12.75">
      <c r="H295" s="4"/>
      <c r="I295" s="6"/>
      <c r="J295" s="6"/>
    </row>
    <row r="296" spans="8:10" ht="12.75">
      <c r="H296" s="4"/>
      <c r="I296" s="6"/>
      <c r="J296" s="6"/>
    </row>
    <row r="298" ht="12.75">
      <c r="H298" s="1"/>
    </row>
    <row r="301" ht="12.75"/>
    <row r="302" ht="15">
      <c r="H302" s="7"/>
    </row>
    <row r="303" ht="15">
      <c r="H303" s="7"/>
    </row>
    <row r="304" ht="15">
      <c r="H304" s="7"/>
    </row>
  </sheetData>
  <sheetProtection/>
  <mergeCells count="1">
    <mergeCell ref="A1:D1"/>
  </mergeCells>
  <printOptions/>
  <pageMargins left="0.29" right="0.2" top="0.23" bottom="0.25" header="0.2" footer="0.18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Wellcom</dc:creator>
  <cp:keywords/>
  <dc:description/>
  <cp:lastModifiedBy>Хижнякова Мария Павловна</cp:lastModifiedBy>
  <cp:lastPrinted>2015-09-01T03:42:33Z</cp:lastPrinted>
  <dcterms:created xsi:type="dcterms:W3CDTF">2003-01-28T12:33:10Z</dcterms:created>
  <dcterms:modified xsi:type="dcterms:W3CDTF">2015-10-14T06:01:38Z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