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 СЕВЕРСК 2016\Северск. Комммунистич 71\"/>
    </mc:Choice>
  </mc:AlternateContent>
  <bookViews>
    <workbookView xWindow="0" yWindow="0" windowWidth="28800" windowHeight="12435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'Лок.См.Расч.Баз.-Инд.Методом'!$16:$19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L179" i="5" l="1"/>
  <c r="L180" i="5"/>
  <c r="L181" i="5"/>
  <c r="L182" i="5"/>
  <c r="L183" i="5"/>
  <c r="L184" i="5"/>
  <c r="L185" i="5"/>
  <c r="L186" i="5"/>
  <c r="L187" i="5"/>
  <c r="L188" i="5"/>
  <c r="L189" i="5"/>
  <c r="L152" i="5"/>
  <c r="L153" i="5"/>
  <c r="L154" i="5"/>
  <c r="L155" i="5"/>
  <c r="L156" i="5"/>
  <c r="L157" i="5"/>
  <c r="L124" i="5"/>
  <c r="L125" i="5"/>
  <c r="L126" i="5"/>
  <c r="L127" i="5"/>
  <c r="L128" i="5"/>
  <c r="L129" i="5"/>
  <c r="L130" i="5"/>
  <c r="L131" i="5"/>
  <c r="L132" i="5"/>
  <c r="L97" i="5"/>
  <c r="L98" i="5"/>
  <c r="L99" i="5"/>
  <c r="L100" i="5"/>
  <c r="L101" i="5"/>
  <c r="L102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22" i="5"/>
  <c r="L23" i="5"/>
  <c r="L24" i="5"/>
  <c r="L25" i="5"/>
</calcChain>
</file>

<file path=xl/comments1.xml><?xml version="1.0" encoding="utf-8"?>
<comments xmlns="http://schemas.openxmlformats.org/spreadsheetml/2006/main">
  <authors>
    <author>Proba</author>
    <author>&lt;&gt;</author>
    <author>wall</author>
    <author>Rus</author>
  </authors>
  <commentList>
    <comment ref="F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1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0" authorId="1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0" authorId="1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0" authorId="1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0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3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3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<sst xmlns="http://schemas.openxmlformats.org/spreadsheetml/2006/main" count="885" uniqueCount="681">
  <si>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</si>
  <si>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</si>
  <si>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</si>
  <si>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</si>
  <si>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</si>
  <si>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</si>
  <si>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</si>
  <si>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</si>
  <si>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</si>
  <si>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</si>
  <si>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</si>
  <si>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</si>
  <si>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</si>
  <si>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</si>
  <si>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</si>
  <si>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</si>
  <si>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</si>
  <si>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</si>
  <si>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</si>
  <si>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</si>
  <si>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</si>
  <si>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</si>
  <si>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</si>
  <si>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</si>
  <si>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</si>
  <si>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</si>
  <si>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</si>
  <si>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</si>
  <si>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</si>
  <si>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</si>
  <si>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</si>
  <si>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</si>
  <si>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</si>
  <si>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</si>
  <si>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</si>
  <si>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</si>
  <si>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</si>
  <si>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</si>
  <si>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</si>
  <si>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</si>
  <si>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</si>
  <si>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</si>
  <si>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</si>
  <si>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</si>
  <si>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</si>
  <si>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</si>
  <si>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</si>
  <si>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</si>
  <si>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</si>
  <si>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</si>
  <si>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</si>
  <si>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</si>
  <si>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</si>
  <si>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</si>
  <si>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</si>
  <si>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</si>
  <si>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</si>
  <si>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</si>
  <si>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</si>
  <si>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</si>
  <si>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</si>
  <si>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</si>
  <si>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</si>
  <si>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</si>
  <si>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</si>
  <si>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</si>
  <si>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</si>
  <si>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</si>
  <si>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</si>
  <si>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</si>
  <si>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</si>
  <si>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</si>
  <si>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</si>
  <si>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</si>
  <si>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</si>
  <si>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</si>
  <si>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</si>
  <si>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</si>
  <si>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</si>
  <si>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</si>
  <si>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</si>
  <si>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</si>
  <si>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</si>
  <si>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</si>
  <si>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</si>
  <si>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</si>
  <si>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</si>
  <si>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</si>
  <si>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</si>
  <si>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</si>
  <si>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</si>
  <si>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</si>
  <si>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</si>
  <si>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</si>
  <si>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</si>
  <si>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</si>
  <si>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</si>
  <si>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</si>
  <si>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</si>
  <si>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</si>
  <si>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</si>
  <si>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</si>
  <si>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</si>
  <si>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</si>
  <si>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</si>
  <si>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</si>
  <si>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</si>
  <si>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</si>
  <si>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</si>
  <si>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</si>
  <si>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</si>
  <si>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</si>
  <si>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</si>
  <si>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</si>
  <si>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</si>
  <si>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</si>
  <si>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</si>
  <si>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</si>
  <si>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</si>
  <si>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</si>
  <si>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</si>
  <si>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</si>
  <si>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</si>
  <si>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</si>
  <si>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</si>
  <si>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</si>
  <si>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</si>
  <si>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</si>
  <si>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</si>
  <si>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</si>
  <si>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</si>
  <si>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</si>
  <si>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</si>
  <si>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</si>
  <si>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</si>
  <si>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</si>
  <si>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</si>
  <si>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</si>
  <si>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</si>
  <si>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</si>
  <si>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</si>
  <si>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</si>
  <si>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</si>
  <si>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</si>
  <si>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</si>
  <si>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</si>
  <si>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</si>
  <si>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</si>
  <si>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</si>
  <si>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</si>
  <si>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</si>
  <si>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</si>
  <si>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</si>
  <si>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</si>
  <si>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</si>
  <si>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</si>
  <si>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</si>
  <si>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</si>
  <si>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</si>
  <si>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</si>
  <si>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</si>
  <si>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</si>
  <si>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</si>
  <si>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</si>
  <si>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</si>
  <si>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</si>
  <si>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</si>
  <si>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</si>
  <si>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</si>
  <si>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</si>
  <si>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</si>
  <si>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</si>
  <si>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</si>
  <si>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</si>
  <si>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</si>
  <si>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</si>
  <si>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</si>
  <si>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</si>
  <si>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</si>
  <si>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</si>
  <si>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</si>
  <si>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</si>
  <si>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</si>
  <si>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</si>
  <si>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</si>
  <si>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</si>
  <si>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</si>
  <si>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</si>
  <si>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</si>
  <si>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</si>
  <si>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</si>
  <si>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</si>
  <si>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</si>
  <si>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</si>
  <si>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</si>
  <si>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</si>
  <si>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</si>
  <si>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</si>
  <si>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</si>
  <si>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</si>
  <si>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</si>
  <si>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</si>
  <si>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</si>
  <si>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</si>
  <si>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</si>
  <si>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</si>
  <si>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</si>
  <si>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</si>
  <si>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</si>
  <si>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</si>
  <si>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</si>
  <si>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</si>
  <si>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</si>
  <si>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</si>
  <si>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</si>
  <si>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</si>
  <si>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</si>
  <si>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</si>
  <si>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</si>
  <si>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</si>
  <si>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</si>
  <si>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</si>
  <si>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</si>
  <si>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</si>
  <si>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</si>
  <si>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</si>
  <si>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</si>
  <si>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</si>
  <si>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</si>
  <si>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</si>
  <si>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</si>
  <si>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</si>
  <si>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</si>
  <si>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</si>
  <si>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</si>
  <si>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</si>
  <si>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</si>
  <si>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</si>
  <si>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</si>
  <si>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</si>
  <si>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</si>
  <si>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</si>
  <si>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</si>
  <si>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</si>
  <si>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</si>
  <si>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</si>
  <si>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</si>
  <si>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</si>
  <si>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</si>
  <si>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</si>
  <si>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</si>
  <si>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</si>
  <si>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</si>
  <si>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</si>
  <si>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</si>
  <si>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</si>
  <si>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</si>
  <si>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</si>
  <si>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</si>
  <si>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</si>
  <si>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</si>
  <si>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</si>
  <si>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</si>
  <si>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</si>
  <si>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</si>
  <si>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</si>
  <si>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</si>
  <si>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</si>
  <si>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</si>
  <si>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</si>
  <si>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</si>
  <si>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</si>
  <si>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</si>
  <si>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</si>
  <si>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</si>
  <si>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</si>
  <si>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</si>
  <si>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</si>
  <si>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</si>
  <si>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</si>
  <si>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</si>
  <si>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</si>
  <si>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</si>
  <si>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</si>
  <si>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</si>
  <si>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</si>
  <si>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</si>
  <si>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</si>
  <si>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</si>
  <si>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</si>
  <si>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</si>
  <si>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</si>
  <si>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</si>
  <si>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</si>
  <si>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</si>
  <si>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</si>
  <si>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</si>
  <si>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</si>
  <si>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</si>
  <si>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</si>
  <si>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</si>
  <si>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</si>
  <si>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</si>
  <si>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</si>
  <si>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</si>
  <si>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</si>
  <si>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</si>
  <si>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</si>
  <si>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</si>
  <si>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</si>
  <si>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</si>
  <si>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</si>
  <si>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</si>
  <si>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</si>
  <si>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</si>
  <si>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</si>
  <si>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Проверил:____________________________</t>
  </si>
  <si>
    <t xml:space="preserve">                           Раздел 1. Демонтажные работы</t>
  </si>
  <si>
    <t>ФЕРр65-14-4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</si>
  <si>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100 мм, 100 м трубопровода
НР 63%=74%*0.85 от ФОТ
СП 40%=50%*0.8 от ФОТ
 </t>
  </si>
  <si>
    <t>603,66
557,01</t>
  </si>
  <si>
    <t xml:space="preserve">90.67 Разборка трубопроводов из водогазопроводных труб в зданиях и сооружениях: на сварке диаметром до 100 мм: ОЗП=16,45; ЭМ=18,23; ЗПМ=16,45; МАТ=4,75
 </t>
  </si>
  <si>
    <t>ФЕРр65-14-3
--------------------
Приказ Минстроя РФ от 30.01.14 №31/пр</t>
  </si>
  <si>
    <t xml:space="preserve">Разборка трубопроводов из водогазопроводных труб в зданиях и сооружениях: на сварке диаметром до 50 мм, 100 м трубопровода
НР 63%=74%*0.85 от ФОТ
СП 40%=50%*0.8 от ФОТ
 </t>
  </si>
  <si>
    <t>391,01
371,91</t>
  </si>
  <si>
    <t xml:space="preserve">90.66 Разборка трубопроводов из водогазопроводных труб в зданиях и сооружениях: на сварке диаметром до 50 мм: ОЗП=16,45; ЭМ=18,23; ЗПМ=16,45; МАТ=4,75
 </t>
  </si>
  <si>
    <t>ФЕРр65-19-1
--------------------
Приказ Минстроя РФ от 30.01.14 №31/пр</t>
  </si>
  <si>
    <t xml:space="preserve">Демонтаж: радиаторов весом до 80 кг, 100 шт.
НР 63%=74%*0.85 от ФОТ
СП 40%=50%*0.8 от ФОТ
 </t>
  </si>
  <si>
    <t>935,72
865,7</t>
  </si>
  <si>
    <t>70,02
30,24</t>
  </si>
  <si>
    <t xml:space="preserve">90.94 Демонтаж нагревательных приборов: ОЗП=16,45; ЭМ=7,19; ЗПМ=16,45
 </t>
  </si>
  <si>
    <t>1268,67
1253,57</t>
  </si>
  <si>
    <t>110
2,24</t>
  </si>
  <si>
    <t>277,2
5,64</t>
  </si>
  <si>
    <t>ФЕРр66-24-2
--------------------
Приказ Минстроя РФ от 30.01.14 №31/пр</t>
  </si>
  <si>
    <t xml:space="preserve">Разборка тепловой изоляции: из ваты минеральной, 100 м2 наружной площади разобранной изоляции
НР 63%=74%*0.85 от ФОТ
СП 40%=50%*0.8 от ФОТ
 </t>
  </si>
  <si>
    <t>158,72
158,72</t>
  </si>
  <si>
    <t xml:space="preserve">91.61 Разборка тепловой изоляции: ОЗП=16,45
 </t>
  </si>
  <si>
    <t>Итого прямые затраты по разделу в текущих ценах</t>
  </si>
  <si>
    <t>3689,49
1253,57</t>
  </si>
  <si>
    <t>1154,16
5,64</t>
  </si>
  <si>
    <t>Накладные расходы</t>
  </si>
  <si>
    <t xml:space="preserve">  В том числе, справочно:</t>
  </si>
  <si>
    <t xml:space="preserve">  63% =  74%*0.85 ФОТ (от 160067,41)  (Поз. 1-4)</t>
  </si>
  <si>
    <t>Сметная прибыль</t>
  </si>
  <si>
    <t xml:space="preserve">  40% =  50%*0.8 ФОТ (от 160067,41)  (Поз. 1-4)</t>
  </si>
  <si>
    <t>Итоги по разделу 1 Демонтажные работы :</t>
  </si>
  <si>
    <t xml:space="preserve">  Внутренние санитарно-технические работы: демонтаж и разборка (ремонтно-строительные)</t>
  </si>
  <si>
    <t>1119,02
5,64</t>
  </si>
  <si>
    <t xml:space="preserve">  Наружные инженерные сети: разборка, очистка (ремонтно-строительные)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</si>
  <si>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</si>
  <si>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</si>
  <si>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</si>
  <si>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</si>
  <si>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</si>
  <si>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</si>
  <si>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</si>
  <si>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</si>
  <si>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Сантехнические работы</t>
  </si>
  <si>
    <t>ФЕР16-02-005-04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</si>
  <si>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80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</si>
  <si>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7383,45
895,11</t>
  </si>
  <si>
    <t>248,09
6,25</t>
  </si>
  <si>
    <t xml:space="preserve">16.64 Прокладка трубопроводов отопления и водоснабжения из стальных электросварных труб диаметром: 80 мм: ОЗП=16,45; ЭМ=12,89; ЗПМ=16,45; МАТ=5,74
 </t>
  </si>
  <si>
    <t>2238,5
71,97</t>
  </si>
  <si>
    <t>91,71
0,46</t>
  </si>
  <si>
    <t>64,2
0,32</t>
  </si>
  <si>
    <t>ФЕР16-02-005-03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</si>
  <si>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65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</si>
  <si>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6337,99
809,92</t>
  </si>
  <si>
    <t>174,86
3,89</t>
  </si>
  <si>
    <t xml:space="preserve">16.63 Прокладка трубопроводов отопления и водоснабжения из стальных электросварных труб диаметром: 65 мм: ОЗП=16,45; ЭМ=12,89; ЗПМ=16,45; МАТ=5,7
 </t>
  </si>
  <si>
    <t>676,19
19,19</t>
  </si>
  <si>
    <t>82,98
0,29</t>
  </si>
  <si>
    <t>24,89
0,09</t>
  </si>
  <si>
    <t>ФЕР16-02-005-02
--------------------
Приказ Минстроя РФ от 30.01.14 №31/пр</t>
  </si>
  <si>
    <t xml:space="preserve">Прокладка трубопроводов отопления и водоснабжения из стальных электросварных труб диаметром: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</si>
  <si>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4984,71
682,76</t>
  </si>
  <si>
    <t>145,21
3,21</t>
  </si>
  <si>
    <t xml:space="preserve">16.62 Прокладка трубопроводов отопления и водоснабжения из стальных электросварных труб диаметром: 50 мм: ОЗП=16,45; ЭМ=12,72; ЗПМ=16,45; МАТ=5,47
 </t>
  </si>
  <si>
    <t>2216,52
63,42</t>
  </si>
  <si>
    <t>69,95
0,24</t>
  </si>
  <si>
    <t>83,94
0,29</t>
  </si>
  <si>
    <t>ФЕР16-02-001-05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</si>
  <si>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</si>
  <si>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3278,55
364,75</t>
  </si>
  <si>
    <t>58,3
2,54</t>
  </si>
  <si>
    <t xml:space="preserve">16.30 Прокладка трубопроводов отопления из стальных водогазопроводных неоцинкованных труб диаметром: 40 мм: ОЗП=16,45; ЭМ=11,59; ЗПМ=16,45; МАТ=7,25
 </t>
  </si>
  <si>
    <t>439,21
27,13</t>
  </si>
  <si>
    <t>37,92
0,19</t>
  </si>
  <si>
    <t>24,65
0,12</t>
  </si>
  <si>
    <t>ФЕР16-02-001-04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</si>
  <si>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</si>
  <si>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3513,01
364,75</t>
  </si>
  <si>
    <t xml:space="preserve">16.29 Прокладка трубопроводов отопления из стальных водогазопроводных неоцинкованных труб диаметром: 32 мм: ОЗП=16,45; ЭМ=11,59; ЗПМ=16,45; МАТ=5,73
 </t>
  </si>
  <si>
    <t>1263,56
78,05</t>
  </si>
  <si>
    <t>70,91
0,36</t>
  </si>
  <si>
    <t>ФЕР16-02-001-03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</si>
  <si>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</si>
  <si>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3001,93
364,75</t>
  </si>
  <si>
    <t xml:space="preserve">16.28 Прокладка трубопроводов отопления из стальных водогазопроводных неоцинкованных труб диаметром: 25 мм: ОЗП=16,45; ЭМ=11,59; ЗПМ=16,45; МАТ=5,98
 </t>
  </si>
  <si>
    <t>506,78
31,31</t>
  </si>
  <si>
    <t>28,44
0,14</t>
  </si>
  <si>
    <t>ФЕР16-02-001-02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</si>
  <si>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20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</si>
  <si>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2789,32
364,75</t>
  </si>
  <si>
    <t xml:space="preserve">16.27 Прокладка трубопроводов отопления из стальных водогазопроводных неоцинкованных труб диаметром: 20 мм: ОЗП=16,45; ЭМ=11,59; ЗПМ=16,45; МАТ=5,51
 </t>
  </si>
  <si>
    <t>9013,84
556,81</t>
  </si>
  <si>
    <t>505,85
2,53</t>
  </si>
  <si>
    <t>ФЕР16-02-001-01
--------------------
Приказ Минстроя РФ от 30.01.14 №31/пр</t>
  </si>
  <si>
    <t xml:space="preserve">Прокладка трубопроводов отопления из стальных водогазопроводных неоцинкованных труб диаметром: 15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</si>
  <si>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2411,86
364,75</t>
  </si>
  <si>
    <t xml:space="preserve">16.26 Прокладка трубопроводов отопления из стальных водогазопроводных неоцинкованных труб диаметром: 15 мм: ОЗП=16,45; ЭМ=11,59; ЗПМ=16,45; МАТ=5,75
 </t>
  </si>
  <si>
    <t>1081,12
66,78</t>
  </si>
  <si>
    <t>60,67
0,3</t>
  </si>
  <si>
    <t>ФЕР16-07-005-02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</si>
  <si>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100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</si>
  <si>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133,82
67,07</t>
  </si>
  <si>
    <t xml:space="preserve">16.197 Гидравлическое испытание трубопроводов систем отопления, водопровода и горячего водоснабжения диаметром: до 100 мм: ОЗП=16,45; ЭМ=0,71; ЗПМ=16,45; МАТ=9,91
 </t>
  </si>
  <si>
    <t>ФЕР16-07-005-01
--------------------
Приказ Минстроя РФ от 30.01.14 №31/пр</t>
  </si>
  <si>
    <t xml:space="preserve">Гидравлическое испытание трубопроводов систем отопления, водопровода и горячего водоснабжения диаметром: до 50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</si>
  <si>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126,99
67,07</t>
  </si>
  <si>
    <t xml:space="preserve">16.196 Гидравлическое испытание трубопроводов систем отопления, водопровода и горячего водоснабжения диаметром: до 50 мм: ОЗП=16,45; ЭМ=0,71; ЗПМ=16,45; МАТ=7,41
 </t>
  </si>
  <si>
    <t>ФССЦ-301-1224
--------------------
Приказ Минстроя России от 12.11.14 №703/пр</t>
  </si>
  <si>
    <t xml:space="preserve">Крепления для трубопроводов: кронштейны, планки, хомуты, кг
 </t>
  </si>
  <si>
    <t xml:space="preserve">Крепления для трубопроводов: кронштейны, планки, хомуты; МАТ=3,281
 </t>
  </si>
  <si>
    <t>ФЕР18-06-003-05
--------------------
Приказ Минстроя РФ от 30.01.14 №31/пр</t>
  </si>
  <si>
    <t xml:space="preserve">Установка воздухосборников наружным диаметром : 159 мм,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</si>
  <si>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207,62
13,24</t>
  </si>
  <si>
    <t>9,15
0,18</t>
  </si>
  <si>
    <t xml:space="preserve">18.48 Установка воздухосборников наружным диаметром: 159 мм: ОЗП=16,45; ЭМ=11,2; ЗПМ=16,45; МАТ=17,13
 </t>
  </si>
  <si>
    <t>102,48
2,88</t>
  </si>
  <si>
    <t>1,39
0,01</t>
  </si>
  <si>
    <t>Прайс "Водяной"</t>
  </si>
  <si>
    <t xml:space="preserve">Кран шаровой ГАЛЛОП СТАНДАРТ 3/4" ГГ, руч. (200,00/1,18/5,58=30,37), шт
 </t>
  </si>
  <si>
    <t xml:space="preserve">Индекс на материалы ФЕР-2001 2/2015; МАТ=5,58
 </t>
  </si>
  <si>
    <t xml:space="preserve">Кран шаровой ГАЛЛОП СТАНДАРТ  1/2" ГГ, баб. (126,00/1,18/5,58=19,14), шт
 </t>
  </si>
  <si>
    <t>Прайс "VALTEC"</t>
  </si>
  <si>
    <t xml:space="preserve">Клапан балансировочный ручной VALTEC VT.054, муфтовый, Тмакс=120гр.С, Ру=40бар, Ду20 (1188,00/1,18/5,58=180,43), шт
 </t>
  </si>
  <si>
    <t>ФЕР18-03-001-03
--------------------
Приказ Минстроя РФ от 30.01.14 №31/пр</t>
  </si>
  <si>
    <t xml:space="preserve">Установка конвекторов, 100 кВт радиаторов и конвекторов
КОЭФ. К ПОЗИЦИИ:
Тепловое испытание систем отопления (п. 1.18.16 ТЧ сб. ФЕР18) ЭМ=1,03; ЗПМ=1,03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98%=128%*(0.9*0.85) от ФОТ
СП 56%=83%*(0.85*0.8) от ФОТ
 </t>
  </si>
  <si>
    <t>20987,96
996,16</t>
  </si>
  <si>
    <t>247,5
18,32</t>
  </si>
  <si>
    <t xml:space="preserve">18.11. Установка конвекторов: ОЗП=16,45; ЭМ=10,7; ЗПМ=16,45; МАТ=2,68
 </t>
  </si>
  <si>
    <t>817,99
93,07</t>
  </si>
  <si>
    <t>111,06
1,33</t>
  </si>
  <si>
    <t>34,3
0,41</t>
  </si>
  <si>
    <t>ФССЦ-301-0420
--------------------
Приказ Минстроя России от 12.11.14 №703/пр</t>
  </si>
  <si>
    <t xml:space="preserve">Конвекторы отопительные типа АККОРД с креплениями без кожуха, кВт
 </t>
  </si>
  <si>
    <t xml:space="preserve">Конвекторы отопительные типа АККОРД с креплениями без кожуха; МАТ=2,671
 </t>
  </si>
  <si>
    <t xml:space="preserve">Конвектор Универсал КСК-20ТБС-2,574К (У 25) (3944,00/1,18/5,58=598,99), шт
 </t>
  </si>
  <si>
    <t>ФЕР18-03-001-02
--------------------
Приказ Минстроя РФ от 30.01.14 №31/пр</t>
  </si>
  <si>
    <t xml:space="preserve">Установка радиаторов: стальных, 100 кВт радиаторов и конвекторов
КОЭФ. К ПОЗИЦИИ:
Тепловое испытание систем отопления (п. 1.18.16 ТЧ сб. ФЕР18) ЭМ=1,03; ЗПМ=1,03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98%=128%*(0.9*0.85) от ФОТ
СП 56%=83%*(0.85*0.8) от ФОТ
 </t>
  </si>
  <si>
    <t>18879,12
676,69</t>
  </si>
  <si>
    <t>297,84
22,12</t>
  </si>
  <si>
    <t xml:space="preserve">18.10. Установка радиаторов стальных: ОЗП=16,45; ЭМ=9,61; ЗПМ=16,45; МАТ=7,52
 </t>
  </si>
  <si>
    <t>9298,37
1182</t>
  </si>
  <si>
    <t>75,44
1,6</t>
  </si>
  <si>
    <t>245,07
5,2</t>
  </si>
  <si>
    <t>ФССЦ-301-0559
--------------------
Приказ Минстроя России от 12.11.14 №703/пр</t>
  </si>
  <si>
    <t xml:space="preserve">Радиаторы стальные панельные: РСВ2-1, РСВ2-6 однорядные, кВт
 </t>
  </si>
  <si>
    <t xml:space="preserve">Радиаторы стальные панельные РСВ2-1, РСВ2-6 однорядные; МАТ=7,866
 </t>
  </si>
  <si>
    <t>ФССЦ-301-1225
--------------------
Приказ Минстроя России от 12.11.14 №703/пр</t>
  </si>
  <si>
    <t xml:space="preserve">Кронштейны для радиаторов стальных спаренных марки КР1-РС, компл.
 </t>
  </si>
  <si>
    <t xml:space="preserve">Кронштейны для радиаторов стальных спаренных марки КР1-РС; МАТ=2,04
 </t>
  </si>
  <si>
    <t xml:space="preserve">Радиатор Solaris 500/80 180Вт (секция) (540,00/1,18/5,58=82,01), секц.
 </t>
  </si>
  <si>
    <t xml:space="preserve">Радиатор Solaris 350/80 149Вт (секция) (540,00/1,18/5,58=82,01), секц.
 </t>
  </si>
  <si>
    <t xml:space="preserve">Набор для подсоединения радиатора 3/4" Altera (с 3мя кронштейнами) с силиконовыми прокладками (295,00/1,18/5,58=44.80), шт
 </t>
  </si>
  <si>
    <t xml:space="preserve">Набор для подсоединения радиатора 1/2" Altera (с 3мя кронштейнами) с силиконовыми прокладками (269,00/1,18/5,58=40,85), шт
 </t>
  </si>
  <si>
    <t xml:space="preserve">Вентиль регулировочный Itap прямой 3/4", Тмакс=150гр.С, Ру=10бар (391,00/1,18/5,58=59,38), шт
 </t>
  </si>
  <si>
    <t xml:space="preserve">Вентиль регулировочный Itap прямой 1/2", Тмакс=150гр.С, Ру=10бар (267,00/1,18/5,58=40,55), шт
 </t>
  </si>
  <si>
    <t xml:space="preserve">Кран шаровой ГАЛЛОП КРЕПЫШ 3/4" баб. с американкой (350,00/1,18/5,58=53,16), шт
 </t>
  </si>
  <si>
    <t xml:space="preserve">Кран шаровой ГАЛЛОП КРЕПЫШ 1/2" баб. с американкой (231,00/1,18/5,58=35,08), шт
 </t>
  </si>
  <si>
    <t>ФЕР18-07-001-05
--------------------
Приказ Минстроя РФ от 30.01.14 №31/пр</t>
  </si>
  <si>
    <t xml:space="preserve">Установка кранов воздушных (Воздухоотводчик для радиатора ручной 1/2"), 1 компл.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</si>
  <si>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27,34
1,41</t>
  </si>
  <si>
    <t xml:space="preserve">18.79 Установка кранов воздушных: ОЗП=16,45; МАТ=2,2
 </t>
  </si>
  <si>
    <t>ФЕР18-06-003-10
--------------------
Приказ Минстроя РФ от 30.01.14 №31/пр</t>
  </si>
  <si>
    <t xml:space="preserve">Установка воздухоотводчиков (Воздухоотводчик автоматический с отсекающим клапаном), 1 шт.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</si>
  <si>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111,66
18,16</t>
  </si>
  <si>
    <t>10,43
0,34</t>
  </si>
  <si>
    <t xml:space="preserve">18.53 Установка воздухоотводчиков: ОЗП=16,45; ЭМ=11,22; ЗПМ=16,45; МАТ=4,24
 </t>
  </si>
  <si>
    <t>467,88
22,2</t>
  </si>
  <si>
    <t>1,91
0,03</t>
  </si>
  <si>
    <t>7,64
0,12</t>
  </si>
  <si>
    <t xml:space="preserve">Дисковый поворотный затвор REON тип RSV 38,  Тмакс=120гр.С, Ру=16бар, Ду=65мм (1551,00/1,18/5,58=235,56), шт
 </t>
  </si>
  <si>
    <t xml:space="preserve">Дисковый поворотный затвор REON тип RSV 38,  Тмакс=120гр.С, Ру=16бар, Ду=50мм (1507,00/1,18/5,58=228,87), шт
 </t>
  </si>
  <si>
    <t>28928,64
2214,81</t>
  </si>
  <si>
    <t>1303,67
9,89</t>
  </si>
  <si>
    <t xml:space="preserve">  98% =  128%*(0.9*0.85) ФОТ (от 210089,67)  (Поз. 5-14, 16, 20, 23, 34-35)</t>
  </si>
  <si>
    <t xml:space="preserve">  56% =  83%*(0.85*0.8) ФОТ (от 210089,67)  (Поз. 5-14, 16, 20, 23, 34-35)</t>
  </si>
  <si>
    <t>Итоги по разделу 2 Сантехнические работы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</si>
  <si>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</si>
  <si>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Материалы для строительных работ</t>
  </si>
  <si>
    <t xml:space="preserve">  Итого по разделу 2 Сантехнические работы</t>
  </si>
  <si>
    <t xml:space="preserve">                           Раздел 3. Общестроительные  работы системы отопления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</si>
  <si>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</si>
  <si>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69%=90%*(0.9*0.85) от ФОТ
СП 48%=70%*(0.85*0.8) от ФОТ
 </t>
  </si>
  <si>
    <t>279,54
65,03</t>
  </si>
  <si>
    <t>11,79
0,13</t>
  </si>
  <si>
    <t xml:space="preserve">13.39. Огрунтовка металлических поверхностей за один раз: грунтовкой ГФ-021: ОЗП=16,45; ЭМ=10,81; ЗПМ=16,45; МАТ=4,27
 </t>
  </si>
  <si>
    <t>265,67
4,3</t>
  </si>
  <si>
    <t>6,11
0,01</t>
  </si>
  <si>
    <t>12,74
0,02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</si>
  <si>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</si>
  <si>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Количество окрасок 2 ПЗ=2 (ОЗП=2; ЭМ=2 к расх.; ЗПМ=2; МАТ=2 к расх.; ТЗ=2; ТЗМ=2)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69%=90%*(0.9*0.85) от ФОТ
СП 48%=70%*(0.85*0.8) от ФОТ
 </t>
  </si>
  <si>
    <t>485,19
56,16</t>
  </si>
  <si>
    <t>27,47
0,23</t>
  </si>
  <si>
    <t xml:space="preserve">13.97 Окраска металлических огрунтованных поверхностей: краской БТ-177 серебристой: ОЗП=16,45; ЭМ=10,91; ЗПМ=16,45; МАТ=4,58
 </t>
  </si>
  <si>
    <t>624,94
7,71</t>
  </si>
  <si>
    <t>6,19
0,02</t>
  </si>
  <si>
    <t>12,91
0,04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</si>
  <si>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</si>
  <si>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КОЭФ. К ПОЗИЦИИ:
Количество окрасок-2 ПЗ=2 (ОЗП=2; ЭМ=2 к расх.; ЗПМ=2; МАТ=2 к расх.; ТЗ=2; ТЗМ=2)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69%=90%*(0.9*0.85) от ФОТ
СП 48%=70%*(0.85*0.8) от ФОТ
 </t>
  </si>
  <si>
    <t>651,25
74,69</t>
  </si>
  <si>
    <t>14
0,23</t>
  </si>
  <si>
    <t xml:space="preserve">13.100 Окраска металлических огрунтованных поверхностей: эмалью ПФ-115: ОЗП=16,45; ЭМ=10,62; ЗПМ=16,45; МАТ=4,94
 </t>
  </si>
  <si>
    <t>309,89
7,71</t>
  </si>
  <si>
    <t>8,23
0,02</t>
  </si>
  <si>
    <t>17,16
0,04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</si>
  <si>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</si>
  <si>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</si>
  <si>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</si>
  <si>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</si>
  <si>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</si>
  <si>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</si>
  <si>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МАТ=3,423
 </t>
  </si>
  <si>
    <t>Прайс "Изолпроект"</t>
  </si>
  <si>
    <t xml:space="preserve">Теплоизоляция ISOVER KIM-AL 50 (4171,95/1,18/5,58=633,61), м3
 </t>
  </si>
  <si>
    <t>8646,89
19,72</t>
  </si>
  <si>
    <t>242,27
0,1</t>
  </si>
  <si>
    <t xml:space="preserve">  69% =  90%*(0.9*0.85) ФОТ (от 6738,11)  (Поз. 38-40)</t>
  </si>
  <si>
    <t xml:space="preserve">  77% =  100%*(0.9*0.85) ФОТ (от 32020,05)  (Поз. 41)</t>
  </si>
  <si>
    <t xml:space="preserve">  48% =  70%*(0.85*0.8) ФОТ (от 38758,16)  (Поз. 38-41)</t>
  </si>
  <si>
    <t>Итоги по разделу 3 Общестроительные  работы системы отопления :</t>
  </si>
  <si>
    <t xml:space="preserve">  Защита строительных конструкций и оборудования от коррозии</t>
  </si>
  <si>
    <t>42,81
0,1</t>
  </si>
  <si>
    <t xml:space="preserve">  Теплоизоляционные работы</t>
  </si>
  <si>
    <t xml:space="preserve">  Итого по разделу 3 Общестроительные  работы системы отопления</t>
  </si>
  <si>
    <t xml:space="preserve">                           Раздел 4. Дренажный трубопровод</t>
  </si>
  <si>
    <t>ФЕР16-02-002-05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</si>
  <si>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40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</si>
  <si>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5480,16
410,1</t>
  </si>
  <si>
    <t>68,46
2,54</t>
  </si>
  <si>
    <t xml:space="preserve">16.36 Прокладка трубопроводов водоснабжения из стальных водогазопроводных оцинкованных труб диаметром: 40 мм: ОЗП=16,45; ЭМ=11,6; ЗПМ=16,45; МАТ=6,88
 </t>
  </si>
  <si>
    <t>1238,91
65,11</t>
  </si>
  <si>
    <t>42,63
0,19</t>
  </si>
  <si>
    <t>66,5
0,3</t>
  </si>
  <si>
    <t>ФЕР16-02-002-04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</si>
  <si>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32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</si>
  <si>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4797,62
410,1</t>
  </si>
  <si>
    <t xml:space="preserve">16.35 Прокладка трубопроводов водоснабжения из стальных водогазопроводных оцинкованных труб диаметром: 32 мм: ОЗП=16,45; ЭМ=11,6; ЗПМ=16,45; МАТ=6,7
 </t>
  </si>
  <si>
    <t>95,3
5,01</t>
  </si>
  <si>
    <t>5,12
0,02</t>
  </si>
  <si>
    <t>ФЕР16-02-002-03
--------------------
Приказ Минстроя РФ от 30.01.14 №31/пр</t>
  </si>
  <si>
    <t xml:space="preserve">Прокладка трубопроводов водоснабжения из стальных водогазопроводных оцинкованных труб диаметром: 25 мм, 100 м трубопровода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98%=128%*(0.9*0.85) от ФОТ
СП 56%=83%*(0.85*0.8) от ФОТ
 </t>
  </si>
  <si>
    <t>4082,54
410,1</t>
  </si>
  <si>
    <t xml:space="preserve">16.34 Прокладка трубопроводов водоснабжения из стальных водогазопроводных оцинкованных труб диаметром: 25 мм: ОЗП=16,45; ЭМ=11,6; ЗПМ=16,45; МАТ=6,7
 </t>
  </si>
  <si>
    <t>174,72
9,18</t>
  </si>
  <si>
    <t>9,38
0,04</t>
  </si>
  <si>
    <t xml:space="preserve">Кран шаровой ГАЛЛОП СТАНДАРТ 11/4" ГГ, руч. (645,00/1,18/5,58=97,96), шт
 </t>
  </si>
  <si>
    <t xml:space="preserve">Кран шаровой ГАЛЛОП СТАНДАРТ 1" ГГ, руч. (387,00/1,18/5,58=58,78), шт
 </t>
  </si>
  <si>
    <t xml:space="preserve">Гибкая подводка для воды 0,5 Г/Ш MATEU (234,00/1,18/5,58=35,54), шт
 </t>
  </si>
  <si>
    <t>1583,98
79,30</t>
  </si>
  <si>
    <t>91,94
0,36</t>
  </si>
  <si>
    <t xml:space="preserve">  98% =  128%*(0.9*0.85) ФОТ (от 14993,24)  (Поз. 44-48)</t>
  </si>
  <si>
    <t xml:space="preserve">  56% =  83%*(0.85*0.8) ФОТ (от 14993,24)  (Поз. 44-48)</t>
  </si>
  <si>
    <t>Итоги по разделу 4 Дренажный трубопровод :</t>
  </si>
  <si>
    <t xml:space="preserve">  Итого по разделу 4 Дренажный трубопровод</t>
  </si>
  <si>
    <t xml:space="preserve">                           Раздел 5. Общестроительные  работы дренажного трубопровода</t>
  </si>
  <si>
    <t>34,79
0,56</t>
  </si>
  <si>
    <t xml:space="preserve">Окраска металлических огрунтованных поверхностей: краской БТ-177 серебристой, 100 м2 окрашиваемой поверхности
КОЭФ. К ПОЗИЦИИ:
Количество окрасок-2 ПЗ=2 (ОЗП=2; ЭМ=2 к расх.; ЗПМ=2; МАТ=2 к расх.; ТЗ=2; ТЗМ=2) (1-й уровень);
При ремонте и реконструкции зданий и сооружений работы, аналогичные технологическим процессам в новом строительстве ОЗП=1,15; ЭМ=1,25; ЗПМ=1,25; ТЗ=1,15; ТЗМ=1,25 (1-й уровень)
НР 69%=90%*(0.9*0.85) от ФОТ
СП 48%=70%*(0.85*0.8) от ФОТ
 </t>
  </si>
  <si>
    <t>81,83
1,01</t>
  </si>
  <si>
    <t>1,69
0,01</t>
  </si>
  <si>
    <t>40,58
1,01</t>
  </si>
  <si>
    <t>2,25
0,01</t>
  </si>
  <si>
    <t>2504,43
2,58</t>
  </si>
  <si>
    <t>68,48
0,02</t>
  </si>
  <si>
    <t xml:space="preserve">  69% =  90%*(0.9*0.85) ФОТ (от 882,26)  (Поз. 53-55)</t>
  </si>
  <si>
    <t xml:space="preserve">  77% =  100%*(0.9*0.85) ФОТ (от 10093,28)  (Поз. 56)</t>
  </si>
  <si>
    <t xml:space="preserve">  48% =  70%*(0.85*0.8) ФОТ (от 10975,54)  (Поз. 53-56)</t>
  </si>
  <si>
    <t>Итоги по разделу 5 Общестроительные  работы дренажного трубопровода :</t>
  </si>
  <si>
    <t>5,61
0,02</t>
  </si>
  <si>
    <t xml:space="preserve">  Итого по разделу 5 Общестроительные  работы дренажного трубопровода</t>
  </si>
  <si>
    <t xml:space="preserve">                           Раздел 6. Сопутствующие  работы</t>
  </si>
  <si>
    <t>ФЕР46-03-001-03
--------------------
Приказ Минстроя РФ от 30.01.14 №31/пр</t>
  </si>
  <si>
    <t xml:space="preserve">Сверление установками алмазного бурения в железобетонных конструкциях вертикальных отверстий глубиной 200 мм диаметром: 32 мм, 100 отверстий
НР 84%=110%*(0.9*0.85) от ФОТ
СП 48%=70%*(0.85*0.8) от ФОТ
 </t>
  </si>
  <si>
    <t>2331,44
175,08</t>
  </si>
  <si>
    <t>751,17
199,52</t>
  </si>
  <si>
    <t xml:space="preserve">46.44 Сверление кольцевыми алмазными сверлами в железобетонных конструкциях с применением охлаждающей жидкости (воды): ОЗП=16,45; ЭМ=8,17; ЗПМ=16,45; МАТ=1,61
 </t>
  </si>
  <si>
    <t>11414,93
6104,71</t>
  </si>
  <si>
    <t>18,2
17,2</t>
  </si>
  <si>
    <t>33,85
31,99</t>
  </si>
  <si>
    <t>ФЕР46-03-001-19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</si>
  <si>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46-03-001-03, 100 отверстий
КОЭФ. К ПОЗИЦИИ:
Увеличение глубины отверстия на 20мм ПЗ=2 (ОЗП=2; ЭМ=2 к расх.; ЗПМ=2; МАТ=2 к расх.; ТЗ=2; ТЗМ=2)
НР 84%=110%*(0.9*0.85) от ФОТ
СП 48%=70%*(0.85*0.8) от ФОТ
 </t>
  </si>
  <si>
    <t>206,86
6,92</t>
  </si>
  <si>
    <t>59,42
19,96</t>
  </si>
  <si>
    <t>902,96
610,71</t>
  </si>
  <si>
    <t>0,72
1,72</t>
  </si>
  <si>
    <t>1,34
3,2</t>
  </si>
  <si>
    <t>ФЕР46-03-001-13
--------------------
Приказ Минстроя РФ от 30.01.14 №31/пр</t>
  </si>
  <si>
    <t xml:space="preserve">Сверление установками алмазного бурения в железобетонных конструкциях вертикальных отверстий глубиной 200 мм диаметром: 110 мм, 100 отверстий
НР 84%=110%*(0.9*0.85) от ФОТ
СП 48%=70%*(0.85*0.8) от ФОТ
 </t>
  </si>
  <si>
    <t>6592,62
253,97</t>
  </si>
  <si>
    <t>1010,29
286,52</t>
  </si>
  <si>
    <t>495,24
282,8</t>
  </si>
  <si>
    <t>26,4
24,7</t>
  </si>
  <si>
    <t>1,58
1,48</t>
  </si>
  <si>
    <t>ФЕР46-03-001-29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</si>
  <si>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46-03-001-13, 100 отверстий
КОЭФ. К ПОЗИЦИИ:
Увеличение глубины отверстия на 20мм ПЗ=2 (ОЗП=2; ЭМ=2 к расх.; ЗПМ=2; МАТ=2 к расх.; ТЗ=2; ТЗМ=2)
НР 84%=110%*(0.9*0.85) от ФОТ
СП 48%=70%*(0.85*0.8) от ФОТ
 </t>
  </si>
  <si>
    <t>658,92
40,4</t>
  </si>
  <si>
    <t>85,68
28,76</t>
  </si>
  <si>
    <t>42
28,39</t>
  </si>
  <si>
    <t>4,2
2,48</t>
  </si>
  <si>
    <t>0,25
0,15</t>
  </si>
  <si>
    <t>ФЕР46-03-002-03
--------------------
Приказ Минстроя РФ от 30.01.14 №31/пр</t>
  </si>
  <si>
    <t xml:space="preserve">Сверление установками алмазного бурения в железобетонных конструкциях горизонтальных отверстий глубиной 200 мм диаметром: 32 мм, 100 отверстий
НР 84%=110%*(0.9*0.85) от ФОТ
СП 48%=70%*(0.85*0.8) от ФОТ
 </t>
  </si>
  <si>
    <t>2546,93
224,15</t>
  </si>
  <si>
    <t>917,01
255,2</t>
  </si>
  <si>
    <t>5993,58
3358,43</t>
  </si>
  <si>
    <t>23,3
22</t>
  </si>
  <si>
    <t>18,64
17,6</t>
  </si>
  <si>
    <t>ФЕР46-03-002-19
--------------------
Приказ Минстроя РФ от 30.01.14 №31/пр</t>
  </si>
  <si>
    <t xml:space="preserve">На каждые 10 мм изменения глубины сверления добавляется или исключается: к расценке 46-03-002-03, 100 отверстий
КОЭФ. К ПОЗИЦИИ:
Уменьшение глубины отверстия на 80мм ПЗ=8 (ОЗП=8; ЭМ=8 к расх.; ЗПМ=8; МАТ=8 к расх.; ТЗ=8; ТЗМ=8)
НР 84%=110%*(0.9*0.85) от ФОТ
СП 48%=70%*(0.85*0.8) от ФОТ
 </t>
  </si>
  <si>
    <t>901,84
35,44</t>
  </si>
  <si>
    <t>304,08
102,08</t>
  </si>
  <si>
    <t>-1987,46
-1343,38</t>
  </si>
  <si>
    <t>3,68
8,8</t>
  </si>
  <si>
    <t>-2,94
-7,04</t>
  </si>
  <si>
    <t>ФЕР46-03-009-08
--------------------
Приказ Минстроя РФ от 30.01.14 №31/пр</t>
  </si>
  <si>
    <t xml:space="preserve">Пробивка в кирпичных стенах отверстий круглых диаметром: до 50 мм при толщине стен до 51 см, 100 шт.
НР 84%=110%*(0.9*0.85) от ФОТ
СП 48%=70%*(0.85*0.8) от ФОТ
 </t>
  </si>
  <si>
    <t>3542,1
891,65</t>
  </si>
  <si>
    <t>2650,45
285,91</t>
  </si>
  <si>
    <t xml:space="preserve">46.49 Пробивка в кирпичных стенах отверстий круглых: ОЗП=16,45; ЭМ=5,23; ЗПМ=16,45
 </t>
  </si>
  <si>
    <t>1108,95
376,26</t>
  </si>
  <si>
    <t>97,13
28,42</t>
  </si>
  <si>
    <t>7,77
2,27</t>
  </si>
  <si>
    <t>ФЕР46-03-017-01
--------------------
Приказ Минстроя РФ от 30.01.14 №31/пр</t>
  </si>
  <si>
    <t xml:space="preserve">Заделка отверстий, гнезд и борозд: в перекрытиях железобетонных площадью до 0,1 м2, 1 м3 заделки
НР 84%=110%*(0.9*0.85) от ФОТ
СП 48%=70%*(0.85*0.8) от ФОТ
 </t>
  </si>
  <si>
    <t>1743,13
446,24</t>
  </si>
  <si>
    <t xml:space="preserve">46.53 Заделка отверстий, гнезд и борозд: в перекрытиях железобетонных: ОЗП=16,45; ЭМ=11,18; ЗПМ=16,45; МАТ=5,11
 </t>
  </si>
  <si>
    <t>ФЕРр63-11-3
--------------------
Приказ Минстроя РФ от 30.01.14 №31/пр</t>
  </si>
  <si>
    <t xml:space="preserve">Ремонт стен, облицованных гипсокартонными листами, площадью ремонтируемых мест: до 10 м2, 100 м2 ремонтируемой поверхности
НР 65%=77%*0.85 от ФОТ
СП 40%=50%*0.8 от ФОТ
 </t>
  </si>
  <si>
    <t>2508,03
217,8</t>
  </si>
  <si>
    <t>23,06
2,43</t>
  </si>
  <si>
    <t xml:space="preserve">89.14 Ремонт стен, облицованных гипсокартонными листами: ОЗП=16,45; ЭМ=10,39; ЗПМ=16,45; МАТ=6,89
 </t>
  </si>
  <si>
    <t>100,63
16,79</t>
  </si>
  <si>
    <t>24,92
0,18</t>
  </si>
  <si>
    <t>10,47
0,08</t>
  </si>
  <si>
    <t>ФССЦпг01-01-01-041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</si>
  <si>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вручную, 1 т груза
НР 100% от ФОТ
СП 60% от ФОТ
 </t>
  </si>
  <si>
    <t xml:space="preserve">Мусор строительный, вручную: погрузка: ОЗП=10,64
 </t>
  </si>
  <si>
    <t>ФССЦпг03-21-01-010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</si>
  <si>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10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</si>
  <si>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10 км.: I класс груза; ЭМ=9,57
 </t>
  </si>
  <si>
    <t>20956,34
9434,71</t>
  </si>
  <si>
    <t>72,69
49,73</t>
  </si>
  <si>
    <t xml:space="preserve">  65% =  77%*0.85 ФОТ (от 1521,57)  (Поз. 67)</t>
  </si>
  <si>
    <t xml:space="preserve">  84% =  110%*(0.9*0.85) ФОТ (от 19164,45)  (Поз. 59-66)</t>
  </si>
  <si>
    <t xml:space="preserve">  40% =  50%*0.8 ФОТ (от 1521,57)  (Поз. 67)</t>
  </si>
  <si>
    <t xml:space="preserve">  48% =  70%*(0.85*0.8) ФОТ (от 19164,45)  (Поз. 59-66)</t>
  </si>
  <si>
    <t>Итоги по разделу 6 Сопутствующие 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</si>
  <si>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</si>
  <si>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62,22
49,65</t>
  </si>
  <si>
    <t xml:space="preserve">  Стекольные, обойные и облицовочные работы (ремонтно-строительные)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</si>
  <si>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</si>
  <si>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</si>
  <si>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 по разделу 6 Сопутствующие  работы</t>
  </si>
  <si>
    <t>Итого прямые затраты по смете в текущих ценах</t>
  </si>
  <si>
    <t>66309,77
13004,69</t>
  </si>
  <si>
    <t>2933,21
65,74</t>
  </si>
  <si>
    <t>Итоги по смете:</t>
  </si>
  <si>
    <t>1395,61
10,25</t>
  </si>
  <si>
    <t>48,42
0,12</t>
  </si>
  <si>
    <t xml:space="preserve">  ВСЕГО по смете</t>
  </si>
  <si>
    <t xml:space="preserve">Капитальный ремонт многоквртирного дома по адресу: Томская область, г.Северск, пр. Коммунистический, 71.                                                                                                                     </t>
  </si>
  <si>
    <t>ЛОКАЛЬНЫЙ СМЕТНЫЙ РАСЧЕТ №  02-01-02</t>
  </si>
  <si>
    <r>
      <t xml:space="preserve">на  </t>
    </r>
    <r>
      <rPr>
        <b/>
        <sz val="9"/>
        <rFont val="Tahoma"/>
        <family val="2"/>
        <charset val="204"/>
      </rPr>
      <t>Капитальный ремонт внутридомовых инженерных систем теплоснабжения. Отопление</t>
    </r>
  </si>
  <si>
    <t>Составлен(а) в текущих ценах по состоянию на 2 кв. 2015 года</t>
  </si>
  <si>
    <t>Основание:  РД №36-2015-ОВ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</si>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</sst>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45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2" fontId="17" fillId="0" borderId="1" xfId="4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1" xfId="10" applyFont="1" applyBorder="1" applyAlignment="1">
      <alignment horizontal="left"/>
    </xf>
    <xf numFmtId="0" fontId="17" fillId="0" borderId="11" xfId="0" applyFont="1" applyBorder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2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8" fillId="0" borderId="11" xfId="10" applyFont="1" applyBorder="1">
      <alignment horizontal="right" indent="1"/>
    </xf>
    <xf numFmtId="0" fontId="18" fillId="0" borderId="12" xfId="10" applyFont="1" applyBorder="1">
      <alignment horizontal="right" inden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20" fillId="0" borderId="0" xfId="1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240"/>
  <sheetViews>
    <sheetView showGridLines="0" tabSelected="1" view="pageBreakPreview" zoomScale="104" zoomScaleNormal="104" zoomScaleSheetLayoutView="104" workbookViewId="0">
      <selection activeCell="I13" sqref="I13"/>
    </sheetView>
  </sheetViews>
  <sheetFormatPr defaultRowHeight="12.75" x14ac:dyDescent="0.2"/>
  <cols>
    <col min="1" max="1" width="3.42578125" style="48" customWidth="1"/>
    <col min="2" max="2" width="16.42578125" style="48" customWidth="1"/>
    <col min="3" max="3" width="30.85546875" style="48" customWidth="1"/>
    <col min="4" max="4" width="6.85546875" style="48" customWidth="1"/>
    <col min="5" max="5" width="10.5703125" style="49" customWidth="1"/>
    <col min="6" max="6" width="10.42578125" style="49" customWidth="1"/>
    <col min="7" max="7" width="9.85546875" style="49" customWidth="1"/>
    <col min="8" max="8" width="20.28515625" style="49" customWidth="1"/>
    <col min="9" max="9" width="9.85546875" style="49" customWidth="1"/>
    <col min="10" max="10" width="8.140625" style="49" customWidth="1"/>
    <col min="11" max="11" width="10.140625" style="49" customWidth="1"/>
    <col min="12" max="12" width="9.85546875" style="49" customWidth="1"/>
    <col min="13" max="13" width="7.42578125" style="49" customWidth="1"/>
    <col min="14" max="14" width="6.85546875" style="47" customWidth="1"/>
    <col min="15" max="15" width="9.140625" style="47"/>
    <col min="16" max="16" width="19.7109375" style="47" customWidth="1"/>
    <col min="17" max="16384" width="9.140625" style="47"/>
  </cols>
  <sheetData>
    <row r="1" spans="1:14" s="11" customFormat="1" ht="12.75" customHeight="1" x14ac:dyDescent="0.2">
      <c r="A1" s="97"/>
      <c r="B1" s="98"/>
      <c r="C1" s="139" t="s">
        <v>674</v>
      </c>
      <c r="D1" s="139"/>
      <c r="E1" s="139"/>
      <c r="F1" s="139"/>
      <c r="G1" s="139"/>
      <c r="H1" s="139"/>
      <c r="I1" s="139"/>
      <c r="J1" s="139"/>
      <c r="K1" s="139"/>
      <c r="L1" s="139"/>
      <c r="M1" s="97"/>
      <c r="N1" s="101"/>
    </row>
    <row r="2" spans="1:14" s="11" customFormat="1" x14ac:dyDescent="0.2">
      <c r="A2" s="102" t="s">
        <v>296</v>
      </c>
      <c r="B2" s="98"/>
      <c r="C2" s="101"/>
      <c r="D2" s="100"/>
      <c r="E2" s="99"/>
      <c r="F2" s="103" t="s">
        <v>81</v>
      </c>
      <c r="G2" s="103"/>
      <c r="H2" s="101"/>
      <c r="I2" s="104"/>
      <c r="J2" s="102"/>
      <c r="K2" s="102" t="s">
        <v>297</v>
      </c>
      <c r="L2" s="102"/>
      <c r="M2" s="97"/>
      <c r="N2" s="101"/>
    </row>
    <row r="3" spans="1:14" s="11" customFormat="1" x14ac:dyDescent="0.2">
      <c r="A3" s="102" t="s">
        <v>298</v>
      </c>
      <c r="B3" s="101"/>
      <c r="C3" s="101"/>
      <c r="D3" s="101"/>
      <c r="E3" s="97"/>
      <c r="F3" s="97"/>
      <c r="G3" s="97"/>
      <c r="H3" s="97"/>
      <c r="I3" s="97"/>
      <c r="J3" s="140" t="s">
        <v>6</v>
      </c>
      <c r="K3" s="140"/>
      <c r="L3" s="140"/>
      <c r="M3" s="140"/>
      <c r="N3" s="140"/>
    </row>
    <row r="4" spans="1:14" s="11" customFormat="1" x14ac:dyDescent="0.2">
      <c r="A4" s="97"/>
      <c r="B4" s="97"/>
      <c r="C4" s="97"/>
      <c r="D4" s="101"/>
      <c r="E4" s="99"/>
      <c r="F4" s="105" t="s">
        <v>675</v>
      </c>
      <c r="G4" s="97"/>
      <c r="H4" s="101"/>
      <c r="I4" s="97"/>
      <c r="J4" s="140"/>
      <c r="K4" s="140"/>
      <c r="L4" s="140"/>
      <c r="M4" s="140"/>
      <c r="N4" s="140"/>
    </row>
    <row r="5" spans="1:14" s="11" customFormat="1" x14ac:dyDescent="0.2">
      <c r="A5" s="97"/>
      <c r="B5" s="97"/>
      <c r="C5" s="97"/>
      <c r="D5" s="101"/>
      <c r="E5" s="99"/>
      <c r="F5" s="97" t="s">
        <v>82</v>
      </c>
      <c r="G5" s="97"/>
      <c r="H5" s="101"/>
      <c r="I5" s="97"/>
      <c r="J5" s="102"/>
      <c r="K5" s="102"/>
      <c r="L5" s="102"/>
      <c r="M5" s="102"/>
      <c r="N5" s="102"/>
    </row>
    <row r="6" spans="1:14" s="96" customFormat="1" x14ac:dyDescent="0.2">
      <c r="A6" s="97"/>
      <c r="B6" s="97"/>
      <c r="C6" s="97"/>
      <c r="D6" s="101"/>
      <c r="E6" s="99"/>
      <c r="F6" s="97"/>
      <c r="G6" s="97"/>
      <c r="H6" s="101"/>
      <c r="I6" s="97"/>
      <c r="J6" s="140"/>
      <c r="K6" s="140"/>
      <c r="L6" s="140"/>
      <c r="M6" s="140"/>
      <c r="N6" s="140"/>
    </row>
    <row r="7" spans="1:14" s="96" customFormat="1" x14ac:dyDescent="0.2">
      <c r="A7" s="97"/>
      <c r="B7" s="97"/>
      <c r="C7" s="97"/>
      <c r="D7" s="101"/>
      <c r="E7" s="99"/>
      <c r="F7" s="97"/>
      <c r="G7" s="97"/>
      <c r="H7" s="101"/>
      <c r="I7" s="97"/>
      <c r="J7" s="102"/>
      <c r="K7" s="102"/>
      <c r="L7" s="102"/>
      <c r="M7" s="102"/>
      <c r="N7" s="102"/>
    </row>
    <row r="8" spans="1:14" s="11" customFormat="1" x14ac:dyDescent="0.2">
      <c r="A8" s="97"/>
      <c r="B8" s="97"/>
      <c r="C8" s="106"/>
      <c r="D8" s="107" t="s">
        <v>676</v>
      </c>
      <c r="E8" s="108"/>
      <c r="F8" s="108"/>
      <c r="G8" s="108"/>
      <c r="H8" s="108"/>
      <c r="I8" s="104"/>
      <c r="J8" s="104"/>
      <c r="K8" s="104"/>
      <c r="L8" s="104"/>
      <c r="M8" s="97"/>
      <c r="N8" s="101"/>
    </row>
    <row r="9" spans="1:14" s="11" customFormat="1" x14ac:dyDescent="0.2">
      <c r="A9" s="59"/>
      <c r="B9" s="59"/>
      <c r="C9" s="59"/>
      <c r="D9" s="63" t="s">
        <v>312</v>
      </c>
      <c r="E9" s="61"/>
      <c r="F9" s="61"/>
      <c r="G9" s="61"/>
      <c r="H9" s="60"/>
      <c r="I9" s="62"/>
      <c r="J9" s="62"/>
      <c r="K9" s="62"/>
      <c r="L9" s="62"/>
      <c r="M9" s="59"/>
      <c r="N9" s="60"/>
    </row>
    <row r="10" spans="1:14" s="11" customFormat="1" ht="7.5" customHeight="1" x14ac:dyDescent="0.2">
      <c r="A10" s="64"/>
      <c r="B10" s="64"/>
      <c r="C10" s="59"/>
      <c r="D10" s="60"/>
      <c r="E10" s="59"/>
      <c r="F10" s="59"/>
      <c r="G10" s="59"/>
      <c r="H10" s="59"/>
      <c r="I10" s="59"/>
      <c r="J10" s="59"/>
      <c r="K10" s="60"/>
      <c r="L10" s="60"/>
      <c r="M10" s="59"/>
      <c r="N10" s="60"/>
    </row>
    <row r="11" spans="1:14" x14ac:dyDescent="0.2">
      <c r="A11" s="114" t="s">
        <v>678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</row>
    <row r="12" spans="1:14" x14ac:dyDescent="0.2">
      <c r="A12" s="65" t="s">
        <v>301</v>
      </c>
      <c r="B12" s="66"/>
      <c r="C12" s="116">
        <v>2798706.97</v>
      </c>
      <c r="D12" s="116"/>
      <c r="E12" s="116"/>
      <c r="F12" s="67" t="s">
        <v>300</v>
      </c>
      <c r="G12" s="68"/>
      <c r="H12" s="68"/>
      <c r="I12" s="68"/>
      <c r="J12" s="68"/>
      <c r="K12" s="143" t="s">
        <v>680</v>
      </c>
      <c r="L12" s="144"/>
      <c r="M12" s="144"/>
      <c r="N12" s="144"/>
    </row>
    <row r="13" spans="1:14" x14ac:dyDescent="0.2">
      <c r="A13" s="65" t="s">
        <v>311</v>
      </c>
      <c r="B13" s="66"/>
      <c r="C13" s="70"/>
      <c r="D13" s="117">
        <v>455570.04</v>
      </c>
      <c r="E13" s="117"/>
      <c r="F13" s="67" t="s">
        <v>300</v>
      </c>
      <c r="G13" s="68"/>
      <c r="H13" s="68"/>
      <c r="I13" s="68"/>
      <c r="J13" s="68"/>
      <c r="K13" s="144"/>
      <c r="L13" s="144"/>
      <c r="M13" s="144"/>
      <c r="N13" s="144"/>
    </row>
    <row r="14" spans="1:14" x14ac:dyDescent="0.2">
      <c r="A14" s="109" t="s">
        <v>677</v>
      </c>
      <c r="B14" s="69"/>
      <c r="C14" s="71"/>
      <c r="D14" s="72"/>
      <c r="E14" s="73"/>
      <c r="F14" s="74"/>
      <c r="G14" s="75"/>
      <c r="H14" s="75"/>
      <c r="I14" s="68"/>
      <c r="J14" s="68"/>
      <c r="K14" s="144"/>
      <c r="L14" s="144"/>
      <c r="M14" s="144"/>
      <c r="N14" s="144"/>
    </row>
    <row r="15" spans="1:14" ht="11.25" customHeight="1" x14ac:dyDescent="0.2">
      <c r="A15" s="76"/>
      <c r="B15" s="67"/>
      <c r="C15" s="67"/>
      <c r="D15" s="76"/>
      <c r="E15" s="68"/>
      <c r="F15" s="68"/>
      <c r="G15" s="68"/>
      <c r="H15" s="70"/>
      <c r="I15" s="68"/>
      <c r="J15" s="68"/>
      <c r="K15" s="68"/>
      <c r="L15" s="68"/>
      <c r="M15" s="68"/>
      <c r="N15" s="69" t="s">
        <v>300</v>
      </c>
    </row>
    <row r="16" spans="1:14" ht="12.75" customHeight="1" x14ac:dyDescent="0.2">
      <c r="A16" s="132" t="s">
        <v>83</v>
      </c>
      <c r="B16" s="132" t="s">
        <v>308</v>
      </c>
      <c r="C16" s="118" t="s">
        <v>313</v>
      </c>
      <c r="D16" s="118" t="s">
        <v>309</v>
      </c>
      <c r="E16" s="124" t="s">
        <v>314</v>
      </c>
      <c r="F16" s="125"/>
      <c r="G16" s="126"/>
      <c r="H16" s="118" t="s">
        <v>295</v>
      </c>
      <c r="I16" s="124" t="s">
        <v>315</v>
      </c>
      <c r="J16" s="130"/>
      <c r="K16" s="130"/>
      <c r="L16" s="121"/>
      <c r="M16" s="120" t="s">
        <v>310</v>
      </c>
      <c r="N16" s="121"/>
    </row>
    <row r="17" spans="1:20" s="50" customFormat="1" ht="38.25" customHeight="1" x14ac:dyDescent="0.2">
      <c r="A17" s="133"/>
      <c r="B17" s="133"/>
      <c r="C17" s="133"/>
      <c r="D17" s="133"/>
      <c r="E17" s="127"/>
      <c r="F17" s="128"/>
      <c r="G17" s="129"/>
      <c r="H17" s="133"/>
      <c r="I17" s="122"/>
      <c r="J17" s="131"/>
      <c r="K17" s="131"/>
      <c r="L17" s="123"/>
      <c r="M17" s="122"/>
      <c r="N17" s="123"/>
    </row>
    <row r="18" spans="1:20" s="50" customFormat="1" ht="12.75" customHeight="1" x14ac:dyDescent="0.2">
      <c r="A18" s="133"/>
      <c r="B18" s="133"/>
      <c r="C18" s="133"/>
      <c r="D18" s="133"/>
      <c r="E18" s="81" t="s">
        <v>303</v>
      </c>
      <c r="F18" s="81" t="s">
        <v>305</v>
      </c>
      <c r="G18" s="118" t="s">
        <v>307</v>
      </c>
      <c r="H18" s="133"/>
      <c r="I18" s="118" t="s">
        <v>303</v>
      </c>
      <c r="J18" s="118" t="s">
        <v>306</v>
      </c>
      <c r="K18" s="81" t="s">
        <v>305</v>
      </c>
      <c r="L18" s="118" t="s">
        <v>307</v>
      </c>
      <c r="M18" s="132" t="s">
        <v>299</v>
      </c>
      <c r="N18" s="118" t="s">
        <v>303</v>
      </c>
    </row>
    <row r="19" spans="1:20" s="50" customFormat="1" ht="11.25" customHeight="1" x14ac:dyDescent="0.2">
      <c r="A19" s="119"/>
      <c r="B19" s="119"/>
      <c r="C19" s="119"/>
      <c r="D19" s="119"/>
      <c r="E19" s="82" t="s">
        <v>302</v>
      </c>
      <c r="F19" s="81" t="s">
        <v>304</v>
      </c>
      <c r="G19" s="119"/>
      <c r="H19" s="119"/>
      <c r="I19" s="119"/>
      <c r="J19" s="119"/>
      <c r="K19" s="81" t="s">
        <v>304</v>
      </c>
      <c r="L19" s="119"/>
      <c r="M19" s="119"/>
      <c r="N19" s="119"/>
    </row>
    <row r="20" spans="1:20" x14ac:dyDescent="0.2">
      <c r="A20" s="83">
        <v>1</v>
      </c>
      <c r="B20" s="83">
        <v>2</v>
      </c>
      <c r="C20" s="83">
        <v>3</v>
      </c>
      <c r="D20" s="83">
        <v>4</v>
      </c>
      <c r="E20" s="83">
        <v>5</v>
      </c>
      <c r="F20" s="83">
        <v>6</v>
      </c>
      <c r="G20" s="83">
        <v>7</v>
      </c>
      <c r="H20" s="83">
        <v>8</v>
      </c>
      <c r="I20" s="83">
        <v>9</v>
      </c>
      <c r="J20" s="83">
        <v>10</v>
      </c>
      <c r="K20" s="83">
        <v>11</v>
      </c>
      <c r="L20" s="83">
        <v>12</v>
      </c>
      <c r="M20" s="83">
        <v>13</v>
      </c>
      <c r="N20" s="83">
        <v>14</v>
      </c>
      <c r="O20" s="51"/>
      <c r="P20" s="51"/>
      <c r="Q20" s="51"/>
      <c r="R20" s="51"/>
      <c r="S20" s="51"/>
      <c r="T20" s="51"/>
    </row>
    <row r="21" spans="1:20" ht="17.850000000000001" customHeight="1" x14ac:dyDescent="0.2">
      <c r="A21" s="110" t="s">
        <v>317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20" ht="112.5" x14ac:dyDescent="0.2">
      <c r="A22" s="84">
        <v>1</v>
      </c>
      <c r="B22" s="85" t="s">
        <v>318</v>
      </c>
      <c r="C22" s="85" t="s">
        <v>319</v>
      </c>
      <c r="D22" s="84">
        <v>1</v>
      </c>
      <c r="E22" s="86" t="s">
        <v>320</v>
      </c>
      <c r="F22" s="86">
        <v>16.32</v>
      </c>
      <c r="G22" s="86">
        <v>30.33</v>
      </c>
      <c r="H22" s="87" t="s">
        <v>321</v>
      </c>
      <c r="I22" s="88">
        <v>9604.4</v>
      </c>
      <c r="J22" s="86">
        <v>9162.81</v>
      </c>
      <c r="K22" s="86">
        <v>297.51</v>
      </c>
      <c r="L22" s="86" t="str">
        <f>IF(1*30.33=0," ",TEXT(,ROUND((1*30.33*4.75),2)))</f>
        <v>144.07</v>
      </c>
      <c r="M22" s="86">
        <v>65.3</v>
      </c>
      <c r="N22" s="86">
        <v>65.3</v>
      </c>
    </row>
    <row r="23" spans="1:20" ht="112.5" x14ac:dyDescent="0.2">
      <c r="A23" s="84">
        <v>2</v>
      </c>
      <c r="B23" s="85" t="s">
        <v>322</v>
      </c>
      <c r="C23" s="85" t="s">
        <v>323</v>
      </c>
      <c r="D23" s="84">
        <v>17.809999999999999</v>
      </c>
      <c r="E23" s="86" t="s">
        <v>324</v>
      </c>
      <c r="F23" s="86">
        <v>6.54</v>
      </c>
      <c r="G23" s="86">
        <v>12.56</v>
      </c>
      <c r="H23" s="87" t="s">
        <v>325</v>
      </c>
      <c r="I23" s="88">
        <v>112146.01</v>
      </c>
      <c r="J23" s="86">
        <v>108960.16</v>
      </c>
      <c r="K23" s="86">
        <v>2123.31</v>
      </c>
      <c r="L23" s="86" t="str">
        <f>IF(17.81*12.56=0," ",TEXT(,ROUND((17.81*12.56*4.75),2)))</f>
        <v>1062.54</v>
      </c>
      <c r="M23" s="86">
        <v>43.6</v>
      </c>
      <c r="N23" s="86">
        <v>776.52</v>
      </c>
    </row>
    <row r="24" spans="1:20" ht="56.25" x14ac:dyDescent="0.2">
      <c r="A24" s="84">
        <v>3</v>
      </c>
      <c r="B24" s="85" t="s">
        <v>326</v>
      </c>
      <c r="C24" s="85" t="s">
        <v>327</v>
      </c>
      <c r="D24" s="84">
        <v>2.52</v>
      </c>
      <c r="E24" s="86" t="s">
        <v>328</v>
      </c>
      <c r="F24" s="86" t="s">
        <v>329</v>
      </c>
      <c r="G24" s="86"/>
      <c r="H24" s="87" t="s">
        <v>330</v>
      </c>
      <c r="I24" s="88">
        <v>37155.410000000003</v>
      </c>
      <c r="J24" s="86">
        <v>35886.74</v>
      </c>
      <c r="K24" s="86" t="s">
        <v>331</v>
      </c>
      <c r="L24" s="86" t="str">
        <f>IF(2.52*0=0," ",TEXT(,ROUND((2.52*0*1),2)))</f>
        <v xml:space="preserve"> </v>
      </c>
      <c r="M24" s="86" t="s">
        <v>332</v>
      </c>
      <c r="N24" s="86" t="s">
        <v>333</v>
      </c>
    </row>
    <row r="25" spans="1:20" ht="78.75" x14ac:dyDescent="0.2">
      <c r="A25" s="89">
        <v>4</v>
      </c>
      <c r="B25" s="90" t="s">
        <v>334</v>
      </c>
      <c r="C25" s="90" t="s">
        <v>335</v>
      </c>
      <c r="D25" s="89">
        <v>1.84</v>
      </c>
      <c r="E25" s="91" t="s">
        <v>336</v>
      </c>
      <c r="F25" s="91"/>
      <c r="G25" s="91"/>
      <c r="H25" s="92" t="s">
        <v>337</v>
      </c>
      <c r="I25" s="93">
        <v>4804.13</v>
      </c>
      <c r="J25" s="91">
        <v>4804.13</v>
      </c>
      <c r="K25" s="91"/>
      <c r="L25" s="91" t="str">
        <f>IF(1.84*0=0," ",TEXT(,ROUND((1.84*0*1),2)))</f>
        <v xml:space="preserve"> </v>
      </c>
      <c r="M25" s="91">
        <v>19.100000000000001</v>
      </c>
      <c r="N25" s="91">
        <v>35.14</v>
      </c>
    </row>
    <row r="26" spans="1:20" ht="33.75" x14ac:dyDescent="0.2">
      <c r="A26" s="112" t="s">
        <v>338</v>
      </c>
      <c r="B26" s="113"/>
      <c r="C26" s="113"/>
      <c r="D26" s="113"/>
      <c r="E26" s="113"/>
      <c r="F26" s="113"/>
      <c r="G26" s="113"/>
      <c r="H26" s="113"/>
      <c r="I26" s="88">
        <v>163709.95000000001</v>
      </c>
      <c r="J26" s="86">
        <v>158813.84</v>
      </c>
      <c r="K26" s="86" t="s">
        <v>339</v>
      </c>
      <c r="L26" s="86">
        <v>1206.6199999999999</v>
      </c>
      <c r="M26" s="86"/>
      <c r="N26" s="86" t="s">
        <v>340</v>
      </c>
    </row>
    <row r="27" spans="1:20" x14ac:dyDescent="0.2">
      <c r="A27" s="112" t="s">
        <v>341</v>
      </c>
      <c r="B27" s="113"/>
      <c r="C27" s="113"/>
      <c r="D27" s="113"/>
      <c r="E27" s="113"/>
      <c r="F27" s="113"/>
      <c r="G27" s="113"/>
      <c r="H27" s="113"/>
      <c r="I27" s="88">
        <v>100842.47</v>
      </c>
      <c r="J27" s="86"/>
      <c r="K27" s="86"/>
      <c r="L27" s="86"/>
      <c r="M27" s="86"/>
      <c r="N27" s="86"/>
    </row>
    <row r="28" spans="1:20" x14ac:dyDescent="0.2">
      <c r="A28" s="112" t="s">
        <v>342</v>
      </c>
      <c r="B28" s="113"/>
      <c r="C28" s="113"/>
      <c r="D28" s="113"/>
      <c r="E28" s="113"/>
      <c r="F28" s="113"/>
      <c r="G28" s="113"/>
      <c r="H28" s="113"/>
      <c r="I28" s="88"/>
      <c r="J28" s="86"/>
      <c r="K28" s="86"/>
      <c r="L28" s="86"/>
      <c r="M28" s="86"/>
      <c r="N28" s="86"/>
    </row>
    <row r="29" spans="1:20" x14ac:dyDescent="0.2">
      <c r="A29" s="112" t="s">
        <v>343</v>
      </c>
      <c r="B29" s="113"/>
      <c r="C29" s="113"/>
      <c r="D29" s="113"/>
      <c r="E29" s="113"/>
      <c r="F29" s="113"/>
      <c r="G29" s="113"/>
      <c r="H29" s="113"/>
      <c r="I29" s="88">
        <v>100842.47</v>
      </c>
      <c r="J29" s="86"/>
      <c r="K29" s="86"/>
      <c r="L29" s="86"/>
      <c r="M29" s="86"/>
      <c r="N29" s="86"/>
    </row>
    <row r="30" spans="1:20" x14ac:dyDescent="0.2">
      <c r="A30" s="112" t="s">
        <v>344</v>
      </c>
      <c r="B30" s="113"/>
      <c r="C30" s="113"/>
      <c r="D30" s="113"/>
      <c r="E30" s="113"/>
      <c r="F30" s="113"/>
      <c r="G30" s="113"/>
      <c r="H30" s="113"/>
      <c r="I30" s="88">
        <v>64026.96</v>
      </c>
      <c r="J30" s="86"/>
      <c r="K30" s="86"/>
      <c r="L30" s="86"/>
      <c r="M30" s="86"/>
      <c r="N30" s="86"/>
    </row>
    <row r="31" spans="1:20" x14ac:dyDescent="0.2">
      <c r="A31" s="112" t="s">
        <v>342</v>
      </c>
      <c r="B31" s="113"/>
      <c r="C31" s="113"/>
      <c r="D31" s="113"/>
      <c r="E31" s="113"/>
      <c r="F31" s="113"/>
      <c r="G31" s="113"/>
      <c r="H31" s="113"/>
      <c r="I31" s="88"/>
      <c r="J31" s="86"/>
      <c r="K31" s="86"/>
      <c r="L31" s="86"/>
      <c r="M31" s="86"/>
      <c r="N31" s="86"/>
    </row>
    <row r="32" spans="1:20" x14ac:dyDescent="0.2">
      <c r="A32" s="112" t="s">
        <v>345</v>
      </c>
      <c r="B32" s="113"/>
      <c r="C32" s="113"/>
      <c r="D32" s="113"/>
      <c r="E32" s="113"/>
      <c r="F32" s="113"/>
      <c r="G32" s="113"/>
      <c r="H32" s="113"/>
      <c r="I32" s="88">
        <v>64026.96</v>
      </c>
      <c r="J32" s="86"/>
      <c r="K32" s="86"/>
      <c r="L32" s="86"/>
      <c r="M32" s="86"/>
      <c r="N32" s="86"/>
    </row>
    <row r="33" spans="1:14" x14ac:dyDescent="0.2">
      <c r="A33" s="134" t="s">
        <v>346</v>
      </c>
      <c r="B33" s="111"/>
      <c r="C33" s="111"/>
      <c r="D33" s="111"/>
      <c r="E33" s="111"/>
      <c r="F33" s="111"/>
      <c r="G33" s="111"/>
      <c r="H33" s="111"/>
      <c r="I33" s="88"/>
      <c r="J33" s="86"/>
      <c r="K33" s="86"/>
      <c r="L33" s="86"/>
      <c r="M33" s="86"/>
      <c r="N33" s="86"/>
    </row>
    <row r="34" spans="1:14" ht="33.75" x14ac:dyDescent="0.2">
      <c r="A34" s="112" t="s">
        <v>347</v>
      </c>
      <c r="B34" s="113"/>
      <c r="C34" s="113"/>
      <c r="D34" s="113"/>
      <c r="E34" s="113"/>
      <c r="F34" s="113"/>
      <c r="G34" s="113"/>
      <c r="H34" s="113"/>
      <c r="I34" s="88">
        <v>318827</v>
      </c>
      <c r="J34" s="86"/>
      <c r="K34" s="86"/>
      <c r="L34" s="86"/>
      <c r="M34" s="86"/>
      <c r="N34" s="86" t="s">
        <v>348</v>
      </c>
    </row>
    <row r="35" spans="1:14" x14ac:dyDescent="0.2">
      <c r="A35" s="112" t="s">
        <v>349</v>
      </c>
      <c r="B35" s="113"/>
      <c r="C35" s="113"/>
      <c r="D35" s="113"/>
      <c r="E35" s="113"/>
      <c r="F35" s="113"/>
      <c r="G35" s="113"/>
      <c r="H35" s="113"/>
      <c r="I35" s="88">
        <v>9752.3799999999992</v>
      </c>
      <c r="J35" s="86"/>
      <c r="K35" s="86"/>
      <c r="L35" s="86"/>
      <c r="M35" s="86"/>
      <c r="N35" s="86">
        <v>35.14</v>
      </c>
    </row>
    <row r="36" spans="1:14" ht="33.75" x14ac:dyDescent="0.2">
      <c r="A36" s="112" t="s">
        <v>350</v>
      </c>
      <c r="B36" s="113"/>
      <c r="C36" s="113"/>
      <c r="D36" s="113"/>
      <c r="E36" s="113"/>
      <c r="F36" s="113"/>
      <c r="G36" s="113"/>
      <c r="H36" s="113"/>
      <c r="I36" s="88">
        <v>328579.38</v>
      </c>
      <c r="J36" s="86"/>
      <c r="K36" s="86"/>
      <c r="L36" s="86"/>
      <c r="M36" s="86"/>
      <c r="N36" s="86" t="s">
        <v>340</v>
      </c>
    </row>
    <row r="37" spans="1:14" x14ac:dyDescent="0.2">
      <c r="A37" s="112" t="s">
        <v>351</v>
      </c>
      <c r="B37" s="113"/>
      <c r="C37" s="113"/>
      <c r="D37" s="113"/>
      <c r="E37" s="113"/>
      <c r="F37" s="113"/>
      <c r="G37" s="113"/>
      <c r="H37" s="113"/>
      <c r="I37" s="88"/>
      <c r="J37" s="86"/>
      <c r="K37" s="86"/>
      <c r="L37" s="86"/>
      <c r="M37" s="86"/>
      <c r="N37" s="86"/>
    </row>
    <row r="38" spans="1:14" x14ac:dyDescent="0.2">
      <c r="A38" s="112" t="s">
        <v>352</v>
      </c>
      <c r="B38" s="113"/>
      <c r="C38" s="113"/>
      <c r="D38" s="113"/>
      <c r="E38" s="113"/>
      <c r="F38" s="113"/>
      <c r="G38" s="113"/>
      <c r="H38" s="113"/>
      <c r="I38" s="88">
        <v>1206.6199999999999</v>
      </c>
      <c r="J38" s="86"/>
      <c r="K38" s="86"/>
      <c r="L38" s="86"/>
      <c r="M38" s="86"/>
      <c r="N38" s="86"/>
    </row>
    <row r="39" spans="1:14" x14ac:dyDescent="0.2">
      <c r="A39" s="112" t="s">
        <v>353</v>
      </c>
      <c r="B39" s="113"/>
      <c r="C39" s="113"/>
      <c r="D39" s="113"/>
      <c r="E39" s="113"/>
      <c r="F39" s="113"/>
      <c r="G39" s="113"/>
      <c r="H39" s="113"/>
      <c r="I39" s="88">
        <v>3689.49</v>
      </c>
      <c r="J39" s="86"/>
      <c r="K39" s="86"/>
      <c r="L39" s="86"/>
      <c r="M39" s="86"/>
      <c r="N39" s="86"/>
    </row>
    <row r="40" spans="1:14" x14ac:dyDescent="0.2">
      <c r="A40" s="112" t="s">
        <v>354</v>
      </c>
      <c r="B40" s="113"/>
      <c r="C40" s="113"/>
      <c r="D40" s="113"/>
      <c r="E40" s="113"/>
      <c r="F40" s="113"/>
      <c r="G40" s="113"/>
      <c r="H40" s="113"/>
      <c r="I40" s="88">
        <v>160067.41</v>
      </c>
      <c r="J40" s="86"/>
      <c r="K40" s="86"/>
      <c r="L40" s="86"/>
      <c r="M40" s="86"/>
      <c r="N40" s="86"/>
    </row>
    <row r="41" spans="1:14" x14ac:dyDescent="0.2">
      <c r="A41" s="112" t="s">
        <v>355</v>
      </c>
      <c r="B41" s="113"/>
      <c r="C41" s="113"/>
      <c r="D41" s="113"/>
      <c r="E41" s="113"/>
      <c r="F41" s="113"/>
      <c r="G41" s="113"/>
      <c r="H41" s="113"/>
      <c r="I41" s="88">
        <v>100842.47</v>
      </c>
      <c r="J41" s="86"/>
      <c r="K41" s="86"/>
      <c r="L41" s="86"/>
      <c r="M41" s="86"/>
      <c r="N41" s="86"/>
    </row>
    <row r="42" spans="1:14" x14ac:dyDescent="0.2">
      <c r="A42" s="112" t="s">
        <v>356</v>
      </c>
      <c r="B42" s="113"/>
      <c r="C42" s="113"/>
      <c r="D42" s="113"/>
      <c r="E42" s="113"/>
      <c r="F42" s="113"/>
      <c r="G42" s="113"/>
      <c r="H42" s="113"/>
      <c r="I42" s="88">
        <v>64026.96</v>
      </c>
      <c r="J42" s="86"/>
      <c r="K42" s="86"/>
      <c r="L42" s="86"/>
      <c r="M42" s="86"/>
      <c r="N42" s="86"/>
    </row>
    <row r="43" spans="1:14" ht="33.75" x14ac:dyDescent="0.2">
      <c r="A43" s="135" t="s">
        <v>357</v>
      </c>
      <c r="B43" s="136"/>
      <c r="C43" s="136"/>
      <c r="D43" s="136"/>
      <c r="E43" s="136"/>
      <c r="F43" s="136"/>
      <c r="G43" s="136"/>
      <c r="H43" s="136"/>
      <c r="I43" s="93">
        <v>328579.38</v>
      </c>
      <c r="J43" s="91"/>
      <c r="K43" s="91"/>
      <c r="L43" s="91"/>
      <c r="M43" s="91"/>
      <c r="N43" s="91" t="s">
        <v>340</v>
      </c>
    </row>
    <row r="44" spans="1:14" ht="17.850000000000001" customHeight="1" x14ac:dyDescent="0.2">
      <c r="A44" s="110" t="s">
        <v>358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  <row r="45" spans="1:14" ht="168.75" x14ac:dyDescent="0.2">
      <c r="A45" s="84">
        <v>5</v>
      </c>
      <c r="B45" s="85" t="s">
        <v>359</v>
      </c>
      <c r="C45" s="85" t="s">
        <v>360</v>
      </c>
      <c r="D45" s="84">
        <v>0.7</v>
      </c>
      <c r="E45" s="86" t="s">
        <v>361</v>
      </c>
      <c r="F45" s="86" t="s">
        <v>362</v>
      </c>
      <c r="G45" s="86">
        <v>6240.25</v>
      </c>
      <c r="H45" s="87" t="s">
        <v>363</v>
      </c>
      <c r="I45" s="88">
        <v>37619.06</v>
      </c>
      <c r="J45" s="86">
        <v>10307.24</v>
      </c>
      <c r="K45" s="86" t="s">
        <v>364</v>
      </c>
      <c r="L45" s="86" t="str">
        <f>IF(0.7*6240.25=0," ",TEXT(,ROUND((0.7*6240.25*5.74),2)))</f>
        <v>25073.32</v>
      </c>
      <c r="M45" s="86" t="s">
        <v>365</v>
      </c>
      <c r="N45" s="86" t="s">
        <v>366</v>
      </c>
    </row>
    <row r="46" spans="1:14" ht="168.75" x14ac:dyDescent="0.2">
      <c r="A46" s="84">
        <v>6</v>
      </c>
      <c r="B46" s="85" t="s">
        <v>367</v>
      </c>
      <c r="C46" s="85" t="s">
        <v>368</v>
      </c>
      <c r="D46" s="84">
        <v>0.3</v>
      </c>
      <c r="E46" s="86" t="s">
        <v>369</v>
      </c>
      <c r="F46" s="86" t="s">
        <v>370</v>
      </c>
      <c r="G46" s="86">
        <v>5353.21</v>
      </c>
      <c r="H46" s="87" t="s">
        <v>371</v>
      </c>
      <c r="I46" s="88">
        <v>13827.15</v>
      </c>
      <c r="J46" s="86">
        <v>3996.97</v>
      </c>
      <c r="K46" s="86" t="s">
        <v>372</v>
      </c>
      <c r="L46" s="86" t="str">
        <f>IF(0.3*5353.21=0," ",TEXT(,ROUND((0.3*5353.21*5.7),2)))</f>
        <v>9153.99</v>
      </c>
      <c r="M46" s="86" t="s">
        <v>373</v>
      </c>
      <c r="N46" s="86" t="s">
        <v>374</v>
      </c>
    </row>
    <row r="47" spans="1:14" ht="168.75" x14ac:dyDescent="0.2">
      <c r="A47" s="84">
        <v>7</v>
      </c>
      <c r="B47" s="85" t="s">
        <v>375</v>
      </c>
      <c r="C47" s="85" t="s">
        <v>376</v>
      </c>
      <c r="D47" s="84">
        <v>1.2</v>
      </c>
      <c r="E47" s="86" t="s">
        <v>377</v>
      </c>
      <c r="F47" s="86" t="s">
        <v>378</v>
      </c>
      <c r="G47" s="86">
        <v>4156.74</v>
      </c>
      <c r="H47" s="87" t="s">
        <v>379</v>
      </c>
      <c r="I47" s="88">
        <v>42978.95</v>
      </c>
      <c r="J47" s="86">
        <v>13477.58</v>
      </c>
      <c r="K47" s="86" t="s">
        <v>380</v>
      </c>
      <c r="L47" s="86" t="str">
        <f>IF(1.2*4156.74=0," ",TEXT(,ROUND((1.2*4156.74*5.47),2)))</f>
        <v>27284.84</v>
      </c>
      <c r="M47" s="86" t="s">
        <v>381</v>
      </c>
      <c r="N47" s="86" t="s">
        <v>382</v>
      </c>
    </row>
    <row r="48" spans="1:14" ht="168.75" x14ac:dyDescent="0.2">
      <c r="A48" s="84">
        <v>8</v>
      </c>
      <c r="B48" s="85" t="s">
        <v>383</v>
      </c>
      <c r="C48" s="85" t="s">
        <v>384</v>
      </c>
      <c r="D48" s="84">
        <v>0.65</v>
      </c>
      <c r="E48" s="86" t="s">
        <v>385</v>
      </c>
      <c r="F48" s="86" t="s">
        <v>386</v>
      </c>
      <c r="G48" s="86">
        <v>2855.5</v>
      </c>
      <c r="H48" s="87" t="s">
        <v>387</v>
      </c>
      <c r="I48" s="88">
        <v>17795.79</v>
      </c>
      <c r="J48" s="86">
        <v>3900.04</v>
      </c>
      <c r="K48" s="86" t="s">
        <v>388</v>
      </c>
      <c r="L48" s="86" t="str">
        <f>IF(0.65*2855.5=0," ",TEXT(,ROUND((0.65*2855.5*7.25),2)))</f>
        <v>13456.54</v>
      </c>
      <c r="M48" s="86" t="s">
        <v>389</v>
      </c>
      <c r="N48" s="86" t="s">
        <v>390</v>
      </c>
    </row>
    <row r="49" spans="1:14" ht="168.75" x14ac:dyDescent="0.2">
      <c r="A49" s="84">
        <v>9</v>
      </c>
      <c r="B49" s="85" t="s">
        <v>391</v>
      </c>
      <c r="C49" s="85" t="s">
        <v>392</v>
      </c>
      <c r="D49" s="84">
        <v>1.87</v>
      </c>
      <c r="E49" s="86" t="s">
        <v>393</v>
      </c>
      <c r="F49" s="86" t="s">
        <v>386</v>
      </c>
      <c r="G49" s="86">
        <v>3089.96</v>
      </c>
      <c r="H49" s="87" t="s">
        <v>394</v>
      </c>
      <c r="I49" s="88">
        <v>45592.9</v>
      </c>
      <c r="J49" s="86">
        <v>11220.11</v>
      </c>
      <c r="K49" s="86" t="s">
        <v>395</v>
      </c>
      <c r="L49" s="86" t="str">
        <f>IF(1.87*3089.96=0," ",TEXT(,ROUND((1.87*3089.96*5.73),2)))</f>
        <v>33109.23</v>
      </c>
      <c r="M49" s="86" t="s">
        <v>389</v>
      </c>
      <c r="N49" s="86" t="s">
        <v>396</v>
      </c>
    </row>
    <row r="50" spans="1:14" ht="168.75" x14ac:dyDescent="0.2">
      <c r="A50" s="84">
        <v>10</v>
      </c>
      <c r="B50" s="85" t="s">
        <v>397</v>
      </c>
      <c r="C50" s="85" t="s">
        <v>398</v>
      </c>
      <c r="D50" s="84">
        <v>0.75</v>
      </c>
      <c r="E50" s="86" t="s">
        <v>399</v>
      </c>
      <c r="F50" s="86" t="s">
        <v>386</v>
      </c>
      <c r="G50" s="86">
        <v>2578.88</v>
      </c>
      <c r="H50" s="87" t="s">
        <v>400</v>
      </c>
      <c r="I50" s="88">
        <v>16573.099999999999</v>
      </c>
      <c r="J50" s="86">
        <v>4500.05</v>
      </c>
      <c r="K50" s="86" t="s">
        <v>401</v>
      </c>
      <c r="L50" s="86" t="str">
        <f>IF(0.75*2578.88=0," ",TEXT(,ROUND((0.75*2578.88*5.98),2)))</f>
        <v>11566.28</v>
      </c>
      <c r="M50" s="86" t="s">
        <v>389</v>
      </c>
      <c r="N50" s="86" t="s">
        <v>402</v>
      </c>
    </row>
    <row r="51" spans="1:14" ht="168.75" x14ac:dyDescent="0.2">
      <c r="A51" s="84">
        <v>11</v>
      </c>
      <c r="B51" s="85" t="s">
        <v>403</v>
      </c>
      <c r="C51" s="85" t="s">
        <v>404</v>
      </c>
      <c r="D51" s="84">
        <v>13.34</v>
      </c>
      <c r="E51" s="86" t="s">
        <v>405</v>
      </c>
      <c r="F51" s="86" t="s">
        <v>386</v>
      </c>
      <c r="G51" s="86">
        <v>2366.27</v>
      </c>
      <c r="H51" s="87" t="s">
        <v>406</v>
      </c>
      <c r="I51" s="88">
        <v>262983.56</v>
      </c>
      <c r="J51" s="86">
        <v>80040.800000000003</v>
      </c>
      <c r="K51" s="86" t="s">
        <v>407</v>
      </c>
      <c r="L51" s="86" t="str">
        <f>IF(13.34*2366.27=0," ",TEXT(,ROUND((13.34*2366.27*5.51),2)))</f>
        <v>173928.89</v>
      </c>
      <c r="M51" s="86" t="s">
        <v>389</v>
      </c>
      <c r="N51" s="86" t="s">
        <v>408</v>
      </c>
    </row>
    <row r="52" spans="1:14" ht="168.75" x14ac:dyDescent="0.2">
      <c r="A52" s="84">
        <v>12</v>
      </c>
      <c r="B52" s="85" t="s">
        <v>409</v>
      </c>
      <c r="C52" s="85" t="s">
        <v>410</v>
      </c>
      <c r="D52" s="84">
        <v>1.6</v>
      </c>
      <c r="E52" s="86" t="s">
        <v>411</v>
      </c>
      <c r="F52" s="86" t="s">
        <v>386</v>
      </c>
      <c r="G52" s="86">
        <v>1988.81</v>
      </c>
      <c r="H52" s="87" t="s">
        <v>412</v>
      </c>
      <c r="I52" s="88">
        <v>28978.27</v>
      </c>
      <c r="J52" s="86">
        <v>9600.1</v>
      </c>
      <c r="K52" s="86" t="s">
        <v>413</v>
      </c>
      <c r="L52" s="86" t="str">
        <f>IF(1.6*1988.81=0," ",TEXT(,ROUND((1.6*1988.81*5.75),2)))</f>
        <v>18297.05</v>
      </c>
      <c r="M52" s="86" t="s">
        <v>389</v>
      </c>
      <c r="N52" s="86" t="s">
        <v>414</v>
      </c>
    </row>
    <row r="53" spans="1:14" ht="168.75" x14ac:dyDescent="0.2">
      <c r="A53" s="84">
        <v>13</v>
      </c>
      <c r="B53" s="85" t="s">
        <v>415</v>
      </c>
      <c r="C53" s="85" t="s">
        <v>416</v>
      </c>
      <c r="D53" s="84">
        <v>1</v>
      </c>
      <c r="E53" s="86" t="s">
        <v>417</v>
      </c>
      <c r="F53" s="86">
        <v>55.64</v>
      </c>
      <c r="G53" s="86">
        <v>11.11</v>
      </c>
      <c r="H53" s="87" t="s">
        <v>418</v>
      </c>
      <c r="I53" s="88">
        <v>1252.8699999999999</v>
      </c>
      <c r="J53" s="86">
        <v>1103.27</v>
      </c>
      <c r="K53" s="86">
        <v>39.5</v>
      </c>
      <c r="L53" s="86" t="str">
        <f>IF(1*11.11=0," ",TEXT(,ROUND((1*11.11*9.91),2)))</f>
        <v>110.1</v>
      </c>
      <c r="M53" s="86">
        <v>5.76</v>
      </c>
      <c r="N53" s="86">
        <v>5.76</v>
      </c>
    </row>
    <row r="54" spans="1:14" ht="168.75" x14ac:dyDescent="0.2">
      <c r="A54" s="84">
        <v>14</v>
      </c>
      <c r="B54" s="85" t="s">
        <v>419</v>
      </c>
      <c r="C54" s="85" t="s">
        <v>420</v>
      </c>
      <c r="D54" s="84">
        <v>19.41</v>
      </c>
      <c r="E54" s="86" t="s">
        <v>421</v>
      </c>
      <c r="F54" s="86">
        <v>55.64</v>
      </c>
      <c r="G54" s="86">
        <v>4.28</v>
      </c>
      <c r="H54" s="87" t="s">
        <v>422</v>
      </c>
      <c r="I54" s="88">
        <v>22796.85</v>
      </c>
      <c r="J54" s="86">
        <v>21414.47</v>
      </c>
      <c r="K54" s="86">
        <v>766.7</v>
      </c>
      <c r="L54" s="86" t="str">
        <f>IF(19.41*4.28=0," ",TEXT(,ROUND((19.41*4.28*7.41),2)))</f>
        <v>615.58</v>
      </c>
      <c r="M54" s="86">
        <v>5.76</v>
      </c>
      <c r="N54" s="86">
        <v>111.8</v>
      </c>
    </row>
    <row r="55" spans="1:14" ht="67.5" x14ac:dyDescent="0.2">
      <c r="A55" s="84">
        <v>15</v>
      </c>
      <c r="B55" s="85" t="s">
        <v>423</v>
      </c>
      <c r="C55" s="85" t="s">
        <v>424</v>
      </c>
      <c r="D55" s="84">
        <v>300</v>
      </c>
      <c r="E55" s="86">
        <v>11.99</v>
      </c>
      <c r="F55" s="86"/>
      <c r="G55" s="86">
        <v>11.99</v>
      </c>
      <c r="H55" s="87" t="s">
        <v>425</v>
      </c>
      <c r="I55" s="88">
        <v>11802</v>
      </c>
      <c r="J55" s="86"/>
      <c r="K55" s="86"/>
      <c r="L55" s="86" t="str">
        <f>IF(300*11.99=0," ",TEXT(,ROUND((300*11.99*3.281),2)))</f>
        <v>11801.76</v>
      </c>
      <c r="M55" s="86"/>
      <c r="N55" s="86"/>
    </row>
    <row r="56" spans="1:14" ht="146.25" x14ac:dyDescent="0.2">
      <c r="A56" s="84">
        <v>16</v>
      </c>
      <c r="B56" s="85" t="s">
        <v>426</v>
      </c>
      <c r="C56" s="85" t="s">
        <v>427</v>
      </c>
      <c r="D56" s="84">
        <v>1</v>
      </c>
      <c r="E56" s="86" t="s">
        <v>428</v>
      </c>
      <c r="F56" s="86" t="s">
        <v>429</v>
      </c>
      <c r="G56" s="86">
        <v>185.23</v>
      </c>
      <c r="H56" s="87" t="s">
        <v>430</v>
      </c>
      <c r="I56" s="88">
        <v>3493.21</v>
      </c>
      <c r="J56" s="86">
        <v>217.74</v>
      </c>
      <c r="K56" s="86" t="s">
        <v>431</v>
      </c>
      <c r="L56" s="86" t="str">
        <f>IF(1*185.23=0," ",TEXT(,ROUND((1*185.23*17.13),2)))</f>
        <v>3172.99</v>
      </c>
      <c r="M56" s="86" t="s">
        <v>432</v>
      </c>
      <c r="N56" s="86" t="s">
        <v>432</v>
      </c>
    </row>
    <row r="57" spans="1:14" ht="45" x14ac:dyDescent="0.2">
      <c r="A57" s="84">
        <v>17</v>
      </c>
      <c r="B57" s="85" t="s">
        <v>433</v>
      </c>
      <c r="C57" s="85" t="s">
        <v>434</v>
      </c>
      <c r="D57" s="84">
        <v>31</v>
      </c>
      <c r="E57" s="86">
        <v>30.37</v>
      </c>
      <c r="F57" s="86"/>
      <c r="G57" s="86">
        <v>30.37</v>
      </c>
      <c r="H57" s="87" t="s">
        <v>435</v>
      </c>
      <c r="I57" s="88">
        <v>5253.26</v>
      </c>
      <c r="J57" s="86"/>
      <c r="K57" s="86"/>
      <c r="L57" s="86" t="str">
        <f>IF(31*30.37=0," ",TEXT(,ROUND((31*30.37*5.58),2)))</f>
        <v>5253.4</v>
      </c>
      <c r="M57" s="86"/>
      <c r="N57" s="86"/>
    </row>
    <row r="58" spans="1:14" ht="45" x14ac:dyDescent="0.2">
      <c r="A58" s="84">
        <v>18</v>
      </c>
      <c r="B58" s="85" t="s">
        <v>433</v>
      </c>
      <c r="C58" s="85" t="s">
        <v>436</v>
      </c>
      <c r="D58" s="84">
        <v>79</v>
      </c>
      <c r="E58" s="86">
        <v>19.14</v>
      </c>
      <c r="F58" s="86"/>
      <c r="G58" s="86">
        <v>19.14</v>
      </c>
      <c r="H58" s="87" t="s">
        <v>435</v>
      </c>
      <c r="I58" s="88">
        <v>8437.2000000000007</v>
      </c>
      <c r="J58" s="86"/>
      <c r="K58" s="86"/>
      <c r="L58" s="86" t="str">
        <f>IF(79*19.14=0," ",TEXT(,ROUND((79*19.14*5.58),2)))</f>
        <v>8437.29</v>
      </c>
      <c r="M58" s="86"/>
      <c r="N58" s="86"/>
    </row>
    <row r="59" spans="1:14" ht="56.25" x14ac:dyDescent="0.2">
      <c r="A59" s="84">
        <v>19</v>
      </c>
      <c r="B59" s="85" t="s">
        <v>437</v>
      </c>
      <c r="C59" s="85" t="s">
        <v>438</v>
      </c>
      <c r="D59" s="84">
        <v>31</v>
      </c>
      <c r="E59" s="86">
        <v>180.43</v>
      </c>
      <c r="F59" s="86"/>
      <c r="G59" s="86">
        <v>180.43</v>
      </c>
      <c r="H59" s="87" t="s">
        <v>435</v>
      </c>
      <c r="I59" s="88">
        <v>31210.799999999999</v>
      </c>
      <c r="J59" s="86"/>
      <c r="K59" s="86"/>
      <c r="L59" s="86" t="str">
        <f>IF(31*180.43=0," ",TEXT(,ROUND((31*180.43*5.58),2)))</f>
        <v>31210.78</v>
      </c>
      <c r="M59" s="86"/>
      <c r="N59" s="86"/>
    </row>
    <row r="60" spans="1:14" ht="180" x14ac:dyDescent="0.2">
      <c r="A60" s="84">
        <v>20</v>
      </c>
      <c r="B60" s="85" t="s">
        <v>439</v>
      </c>
      <c r="C60" s="85" t="s">
        <v>440</v>
      </c>
      <c r="D60" s="84">
        <v>0.30887999999999999</v>
      </c>
      <c r="E60" s="86" t="s">
        <v>441</v>
      </c>
      <c r="F60" s="86" t="s">
        <v>442</v>
      </c>
      <c r="G60" s="86">
        <v>19744.29</v>
      </c>
      <c r="H60" s="87" t="s">
        <v>443</v>
      </c>
      <c r="I60" s="88">
        <v>22223.87</v>
      </c>
      <c r="J60" s="86">
        <v>5061.59</v>
      </c>
      <c r="K60" s="86" t="s">
        <v>444</v>
      </c>
      <c r="L60" s="86" t="str">
        <f>IF(0.30888*19744.29=0," ",TEXT(,ROUND((0.30888*19744.29*2.68),2)))</f>
        <v>16344.29</v>
      </c>
      <c r="M60" s="86" t="s">
        <v>445</v>
      </c>
      <c r="N60" s="86" t="s">
        <v>446</v>
      </c>
    </row>
    <row r="61" spans="1:14" ht="67.5" x14ac:dyDescent="0.2">
      <c r="A61" s="84">
        <v>21</v>
      </c>
      <c r="B61" s="85" t="s">
        <v>447</v>
      </c>
      <c r="C61" s="85" t="s">
        <v>448</v>
      </c>
      <c r="D61" s="84">
        <v>-30.89</v>
      </c>
      <c r="E61" s="86">
        <v>197</v>
      </c>
      <c r="F61" s="86"/>
      <c r="G61" s="86">
        <v>197</v>
      </c>
      <c r="H61" s="87" t="s">
        <v>449</v>
      </c>
      <c r="I61" s="88">
        <v>-16254.01</v>
      </c>
      <c r="J61" s="86"/>
      <c r="K61" s="86"/>
      <c r="L61" s="86" t="str">
        <f>IF(-30.89*197=0," ",TEXT(,ROUND((-30.89*197*2.671),2)))</f>
        <v>-16253.92</v>
      </c>
      <c r="M61" s="86"/>
      <c r="N61" s="86"/>
    </row>
    <row r="62" spans="1:14" ht="45" x14ac:dyDescent="0.2">
      <c r="A62" s="84">
        <v>22</v>
      </c>
      <c r="B62" s="85" t="s">
        <v>433</v>
      </c>
      <c r="C62" s="85" t="s">
        <v>450</v>
      </c>
      <c r="D62" s="84">
        <v>12</v>
      </c>
      <c r="E62" s="86">
        <v>598.99</v>
      </c>
      <c r="F62" s="86"/>
      <c r="G62" s="86">
        <v>598.99</v>
      </c>
      <c r="H62" s="87" t="s">
        <v>435</v>
      </c>
      <c r="I62" s="88">
        <v>40108.32</v>
      </c>
      <c r="J62" s="86"/>
      <c r="K62" s="86"/>
      <c r="L62" s="86" t="str">
        <f>IF(12*598.99=0," ",TEXT(,ROUND((12*598.99*5.58),2)))</f>
        <v>40108.37</v>
      </c>
      <c r="M62" s="86"/>
      <c r="N62" s="86"/>
    </row>
    <row r="63" spans="1:14" ht="180" x14ac:dyDescent="0.2">
      <c r="A63" s="84">
        <v>23</v>
      </c>
      <c r="B63" s="85" t="s">
        <v>451</v>
      </c>
      <c r="C63" s="85" t="s">
        <v>452</v>
      </c>
      <c r="D63" s="84">
        <v>3.2486000000000002</v>
      </c>
      <c r="E63" s="86" t="s">
        <v>453</v>
      </c>
      <c r="F63" s="86" t="s">
        <v>454</v>
      </c>
      <c r="G63" s="86">
        <v>17904.580000000002</v>
      </c>
      <c r="H63" s="87" t="s">
        <v>455</v>
      </c>
      <c r="I63" s="88">
        <v>482860.01</v>
      </c>
      <c r="J63" s="86">
        <v>36162.18</v>
      </c>
      <c r="K63" s="86" t="s">
        <v>456</v>
      </c>
      <c r="L63" s="86" t="str">
        <f>IF(3.2486*17904.58=0," ",TEXT(,ROUND((3.2486*17904.58*7.52),2)))</f>
        <v>437399.44</v>
      </c>
      <c r="M63" s="86" t="s">
        <v>457</v>
      </c>
      <c r="N63" s="86" t="s">
        <v>458</v>
      </c>
    </row>
    <row r="64" spans="1:14" ht="67.5" x14ac:dyDescent="0.2">
      <c r="A64" s="84">
        <v>24</v>
      </c>
      <c r="B64" s="85" t="s">
        <v>459</v>
      </c>
      <c r="C64" s="85" t="s">
        <v>460</v>
      </c>
      <c r="D64" s="84">
        <v>-324.89999999999998</v>
      </c>
      <c r="E64" s="86">
        <v>167</v>
      </c>
      <c r="F64" s="86"/>
      <c r="G64" s="86">
        <v>167</v>
      </c>
      <c r="H64" s="87" t="s">
        <v>461</v>
      </c>
      <c r="I64" s="88">
        <v>-426795.14</v>
      </c>
      <c r="J64" s="86"/>
      <c r="K64" s="86"/>
      <c r="L64" s="86" t="str">
        <f>IF(-324.9*167=0," ",TEXT(,ROUND((-324.9*167*7.866),2)))</f>
        <v>-426795.79</v>
      </c>
      <c r="M64" s="86"/>
      <c r="N64" s="86"/>
    </row>
    <row r="65" spans="1:14" ht="67.5" x14ac:dyDescent="0.2">
      <c r="A65" s="84">
        <v>25</v>
      </c>
      <c r="B65" s="85" t="s">
        <v>462</v>
      </c>
      <c r="C65" s="85" t="s">
        <v>463</v>
      </c>
      <c r="D65" s="84">
        <v>-143.6</v>
      </c>
      <c r="E65" s="86">
        <v>24.75</v>
      </c>
      <c r="F65" s="86"/>
      <c r="G65" s="86">
        <v>24.75</v>
      </c>
      <c r="H65" s="87" t="s">
        <v>464</v>
      </c>
      <c r="I65" s="88">
        <v>-7250.36</v>
      </c>
      <c r="J65" s="86"/>
      <c r="K65" s="86"/>
      <c r="L65" s="86" t="str">
        <f>IF(-143.6*24.75=0," ",TEXT(,ROUND((-143.6*24.75*2.04),2)))</f>
        <v>-7250.36</v>
      </c>
      <c r="M65" s="86"/>
      <c r="N65" s="86"/>
    </row>
    <row r="66" spans="1:14" ht="45" x14ac:dyDescent="0.2">
      <c r="A66" s="84">
        <v>26</v>
      </c>
      <c r="B66" s="85" t="s">
        <v>433</v>
      </c>
      <c r="C66" s="85" t="s">
        <v>465</v>
      </c>
      <c r="D66" s="84">
        <v>1573</v>
      </c>
      <c r="E66" s="86">
        <v>82.01</v>
      </c>
      <c r="F66" s="86"/>
      <c r="G66" s="86">
        <v>82.01</v>
      </c>
      <c r="H66" s="87" t="s">
        <v>435</v>
      </c>
      <c r="I66" s="88">
        <v>719836.26</v>
      </c>
      <c r="J66" s="86"/>
      <c r="K66" s="86"/>
      <c r="L66" s="86" t="str">
        <f>IF(1573*82.01=0," ",TEXT(,ROUND((1573*82.01*5.58),2)))</f>
        <v>719829.65</v>
      </c>
      <c r="M66" s="86"/>
      <c r="N66" s="86"/>
    </row>
    <row r="67" spans="1:14" ht="45" x14ac:dyDescent="0.2">
      <c r="A67" s="84">
        <v>27</v>
      </c>
      <c r="B67" s="85" t="s">
        <v>433</v>
      </c>
      <c r="C67" s="85" t="s">
        <v>466</v>
      </c>
      <c r="D67" s="84">
        <v>280</v>
      </c>
      <c r="E67" s="86">
        <v>82.01</v>
      </c>
      <c r="F67" s="86"/>
      <c r="G67" s="86">
        <v>82.01</v>
      </c>
      <c r="H67" s="87" t="s">
        <v>435</v>
      </c>
      <c r="I67" s="88">
        <v>128133.6</v>
      </c>
      <c r="J67" s="86"/>
      <c r="K67" s="86"/>
      <c r="L67" s="86" t="str">
        <f>IF(280*82.01=0," ",TEXT(,ROUND((280*82.01*5.58),2)))</f>
        <v>128132.42</v>
      </c>
      <c r="M67" s="86"/>
      <c r="N67" s="86"/>
    </row>
    <row r="68" spans="1:14" ht="67.5" x14ac:dyDescent="0.2">
      <c r="A68" s="84">
        <v>28</v>
      </c>
      <c r="B68" s="85" t="s">
        <v>433</v>
      </c>
      <c r="C68" s="85" t="s">
        <v>467</v>
      </c>
      <c r="D68" s="84">
        <v>222</v>
      </c>
      <c r="E68" s="86">
        <v>44.8</v>
      </c>
      <c r="F68" s="86"/>
      <c r="G68" s="86">
        <v>44.8</v>
      </c>
      <c r="H68" s="87" t="s">
        <v>435</v>
      </c>
      <c r="I68" s="88">
        <v>55495.56</v>
      </c>
      <c r="J68" s="86"/>
      <c r="K68" s="86"/>
      <c r="L68" s="86" t="str">
        <f>IF(222*44.8=0," ",TEXT(,ROUND((222*44.8*5.58),2)))</f>
        <v>55496.45</v>
      </c>
      <c r="M68" s="86"/>
      <c r="N68" s="86"/>
    </row>
    <row r="69" spans="1:14" ht="67.5" x14ac:dyDescent="0.2">
      <c r="A69" s="84">
        <v>29</v>
      </c>
      <c r="B69" s="85" t="s">
        <v>433</v>
      </c>
      <c r="C69" s="85" t="s">
        <v>468</v>
      </c>
      <c r="D69" s="84">
        <v>18</v>
      </c>
      <c r="E69" s="86">
        <v>40.85</v>
      </c>
      <c r="F69" s="86"/>
      <c r="G69" s="86">
        <v>40.85</v>
      </c>
      <c r="H69" s="87" t="s">
        <v>435</v>
      </c>
      <c r="I69" s="88">
        <v>4102.92</v>
      </c>
      <c r="J69" s="86"/>
      <c r="K69" s="86"/>
      <c r="L69" s="86" t="str">
        <f>IF(18*40.85=0," ",TEXT(,ROUND((18*40.85*5.58),2)))</f>
        <v>4102.97</v>
      </c>
      <c r="M69" s="86"/>
      <c r="N69" s="86"/>
    </row>
    <row r="70" spans="1:14" ht="56.25" x14ac:dyDescent="0.2">
      <c r="A70" s="84">
        <v>30</v>
      </c>
      <c r="B70" s="85" t="s">
        <v>433</v>
      </c>
      <c r="C70" s="85" t="s">
        <v>469</v>
      </c>
      <c r="D70" s="84">
        <v>222</v>
      </c>
      <c r="E70" s="86">
        <v>59.38</v>
      </c>
      <c r="F70" s="86"/>
      <c r="G70" s="86">
        <v>59.38</v>
      </c>
      <c r="H70" s="87" t="s">
        <v>435</v>
      </c>
      <c r="I70" s="88">
        <v>73557.48</v>
      </c>
      <c r="J70" s="86"/>
      <c r="K70" s="86"/>
      <c r="L70" s="86" t="str">
        <f>IF(222*59.38=0," ",TEXT(,ROUND((222*59.38*5.58),2)))</f>
        <v>73557.57</v>
      </c>
      <c r="M70" s="86"/>
      <c r="N70" s="86"/>
    </row>
    <row r="71" spans="1:14" ht="56.25" x14ac:dyDescent="0.2">
      <c r="A71" s="84">
        <v>31</v>
      </c>
      <c r="B71" s="85" t="s">
        <v>433</v>
      </c>
      <c r="C71" s="85" t="s">
        <v>470</v>
      </c>
      <c r="D71" s="84">
        <v>18</v>
      </c>
      <c r="E71" s="86">
        <v>40.549999999999997</v>
      </c>
      <c r="F71" s="86"/>
      <c r="G71" s="86">
        <v>40.549999999999997</v>
      </c>
      <c r="H71" s="87" t="s">
        <v>435</v>
      </c>
      <c r="I71" s="88">
        <v>4072.86</v>
      </c>
      <c r="J71" s="86"/>
      <c r="K71" s="86"/>
      <c r="L71" s="86" t="str">
        <f>IF(18*40.55=0," ",TEXT(,ROUND((18*40.55*5.58),2)))</f>
        <v>4072.84</v>
      </c>
      <c r="M71" s="86"/>
      <c r="N71" s="86"/>
    </row>
    <row r="72" spans="1:14" ht="45" x14ac:dyDescent="0.2">
      <c r="A72" s="84">
        <v>32</v>
      </c>
      <c r="B72" s="85" t="s">
        <v>433</v>
      </c>
      <c r="C72" s="85" t="s">
        <v>471</v>
      </c>
      <c r="D72" s="84">
        <v>222</v>
      </c>
      <c r="E72" s="86">
        <v>53.16</v>
      </c>
      <c r="F72" s="86"/>
      <c r="G72" s="86">
        <v>53.16</v>
      </c>
      <c r="H72" s="87" t="s">
        <v>435</v>
      </c>
      <c r="I72" s="88">
        <v>65851.86</v>
      </c>
      <c r="J72" s="86"/>
      <c r="K72" s="86"/>
      <c r="L72" s="86" t="str">
        <f>IF(222*53.16=0," ",TEXT(,ROUND((222*53.16*5.58),2)))</f>
        <v>65852.48</v>
      </c>
      <c r="M72" s="86"/>
      <c r="N72" s="86"/>
    </row>
    <row r="73" spans="1:14" ht="45" x14ac:dyDescent="0.2">
      <c r="A73" s="84">
        <v>33</v>
      </c>
      <c r="B73" s="85" t="s">
        <v>433</v>
      </c>
      <c r="C73" s="85" t="s">
        <v>472</v>
      </c>
      <c r="D73" s="84">
        <v>18</v>
      </c>
      <c r="E73" s="86">
        <v>35.08</v>
      </c>
      <c r="F73" s="86"/>
      <c r="G73" s="86">
        <v>35.08</v>
      </c>
      <c r="H73" s="87" t="s">
        <v>435</v>
      </c>
      <c r="I73" s="88">
        <v>3523.5</v>
      </c>
      <c r="J73" s="86"/>
      <c r="K73" s="86"/>
      <c r="L73" s="86" t="str">
        <f>IF(18*35.08=0," ",TEXT(,ROUND((18*35.08*5.58),2)))</f>
        <v>3523.44</v>
      </c>
      <c r="M73" s="86"/>
      <c r="N73" s="86"/>
    </row>
    <row r="74" spans="1:14" ht="146.25" x14ac:dyDescent="0.2">
      <c r="A74" s="84">
        <v>34</v>
      </c>
      <c r="B74" s="85" t="s">
        <v>473</v>
      </c>
      <c r="C74" s="85" t="s">
        <v>474</v>
      </c>
      <c r="D74" s="84">
        <v>244</v>
      </c>
      <c r="E74" s="86" t="s">
        <v>475</v>
      </c>
      <c r="F74" s="86"/>
      <c r="G74" s="86">
        <v>25.93</v>
      </c>
      <c r="H74" s="87" t="s">
        <v>476</v>
      </c>
      <c r="I74" s="88">
        <v>19595.64</v>
      </c>
      <c r="J74" s="86">
        <v>5677.88</v>
      </c>
      <c r="K74" s="86"/>
      <c r="L74" s="86" t="str">
        <f>IF(244*25.93=0," ",TEXT(,ROUND((244*25.93*2.2),2)))</f>
        <v>13919.22</v>
      </c>
      <c r="M74" s="86">
        <v>0.14000000000000001</v>
      </c>
      <c r="N74" s="86">
        <v>34.159999999999997</v>
      </c>
    </row>
    <row r="75" spans="1:14" ht="146.25" x14ac:dyDescent="0.2">
      <c r="A75" s="84">
        <v>35</v>
      </c>
      <c r="B75" s="85" t="s">
        <v>477</v>
      </c>
      <c r="C75" s="85" t="s">
        <v>478</v>
      </c>
      <c r="D75" s="84">
        <v>4</v>
      </c>
      <c r="E75" s="86" t="s">
        <v>479</v>
      </c>
      <c r="F75" s="86" t="s">
        <v>480</v>
      </c>
      <c r="G75" s="86">
        <v>83.08</v>
      </c>
      <c r="H75" s="87" t="s">
        <v>481</v>
      </c>
      <c r="I75" s="88">
        <v>3071.76</v>
      </c>
      <c r="J75" s="86">
        <v>1194.8399999999999</v>
      </c>
      <c r="K75" s="86" t="s">
        <v>482</v>
      </c>
      <c r="L75" s="86" t="str">
        <f>IF(4*83.08=0," ",TEXT(,ROUND((4*83.08*4.24),2)))</f>
        <v>1409.04</v>
      </c>
      <c r="M75" s="86" t="s">
        <v>483</v>
      </c>
      <c r="N75" s="86" t="s">
        <v>484</v>
      </c>
    </row>
    <row r="76" spans="1:14" ht="56.25" x14ac:dyDescent="0.2">
      <c r="A76" s="84">
        <v>36</v>
      </c>
      <c r="B76" s="85" t="s">
        <v>433</v>
      </c>
      <c r="C76" s="85" t="s">
        <v>485</v>
      </c>
      <c r="D76" s="84">
        <v>4</v>
      </c>
      <c r="E76" s="86">
        <v>235.56</v>
      </c>
      <c r="F76" s="86"/>
      <c r="G76" s="86">
        <v>235.56</v>
      </c>
      <c r="H76" s="87" t="s">
        <v>435</v>
      </c>
      <c r="I76" s="88">
        <v>5257.68</v>
      </c>
      <c r="J76" s="86"/>
      <c r="K76" s="86"/>
      <c r="L76" s="86" t="str">
        <f>IF(4*235.56=0," ",TEXT(,ROUND((4*235.56*5.58),2)))</f>
        <v>5257.7</v>
      </c>
      <c r="M76" s="86"/>
      <c r="N76" s="86"/>
    </row>
    <row r="77" spans="1:14" ht="56.25" x14ac:dyDescent="0.2">
      <c r="A77" s="89">
        <v>37</v>
      </c>
      <c r="B77" s="90" t="s">
        <v>433</v>
      </c>
      <c r="C77" s="90" t="s">
        <v>486</v>
      </c>
      <c r="D77" s="89">
        <v>8</v>
      </c>
      <c r="E77" s="91">
        <v>228.87</v>
      </c>
      <c r="F77" s="91"/>
      <c r="G77" s="91">
        <v>228.87</v>
      </c>
      <c r="H77" s="92" t="s">
        <v>435</v>
      </c>
      <c r="I77" s="93">
        <v>10216.719999999999</v>
      </c>
      <c r="J77" s="91"/>
      <c r="K77" s="91"/>
      <c r="L77" s="91" t="str">
        <f>IF(8*228.87=0," ",TEXT(,ROUND((8*228.87*5.58),2)))</f>
        <v>10216.76</v>
      </c>
      <c r="M77" s="91"/>
      <c r="N77" s="91"/>
    </row>
    <row r="78" spans="1:14" ht="33.75" x14ac:dyDescent="0.2">
      <c r="A78" s="112" t="s">
        <v>338</v>
      </c>
      <c r="B78" s="113"/>
      <c r="C78" s="113"/>
      <c r="D78" s="113"/>
      <c r="E78" s="113"/>
      <c r="F78" s="113"/>
      <c r="G78" s="113"/>
      <c r="H78" s="113"/>
      <c r="I78" s="88">
        <v>1738203.5</v>
      </c>
      <c r="J78" s="86">
        <v>207874.86</v>
      </c>
      <c r="K78" s="86" t="s">
        <v>487</v>
      </c>
      <c r="L78" s="86">
        <v>1501400</v>
      </c>
      <c r="M78" s="86"/>
      <c r="N78" s="86" t="s">
        <v>488</v>
      </c>
    </row>
    <row r="79" spans="1:14" x14ac:dyDescent="0.2">
      <c r="A79" s="112" t="s">
        <v>341</v>
      </c>
      <c r="B79" s="113"/>
      <c r="C79" s="113"/>
      <c r="D79" s="113"/>
      <c r="E79" s="113"/>
      <c r="F79" s="113"/>
      <c r="G79" s="113"/>
      <c r="H79" s="113"/>
      <c r="I79" s="88">
        <v>205887.88</v>
      </c>
      <c r="J79" s="86"/>
      <c r="K79" s="86"/>
      <c r="L79" s="86"/>
      <c r="M79" s="86"/>
      <c r="N79" s="86"/>
    </row>
    <row r="80" spans="1:14" x14ac:dyDescent="0.2">
      <c r="A80" s="112" t="s">
        <v>342</v>
      </c>
      <c r="B80" s="113"/>
      <c r="C80" s="113"/>
      <c r="D80" s="113"/>
      <c r="E80" s="113"/>
      <c r="F80" s="113"/>
      <c r="G80" s="113"/>
      <c r="H80" s="113"/>
      <c r="I80" s="88"/>
      <c r="J80" s="86"/>
      <c r="K80" s="86"/>
      <c r="L80" s="86"/>
      <c r="M80" s="86"/>
      <c r="N80" s="86"/>
    </row>
    <row r="81" spans="1:14" x14ac:dyDescent="0.2">
      <c r="A81" s="112" t="s">
        <v>489</v>
      </c>
      <c r="B81" s="113"/>
      <c r="C81" s="113"/>
      <c r="D81" s="113"/>
      <c r="E81" s="113"/>
      <c r="F81" s="113"/>
      <c r="G81" s="113"/>
      <c r="H81" s="113"/>
      <c r="I81" s="88">
        <v>205887.88</v>
      </c>
      <c r="J81" s="86"/>
      <c r="K81" s="86"/>
      <c r="L81" s="86"/>
      <c r="M81" s="86"/>
      <c r="N81" s="86"/>
    </row>
    <row r="82" spans="1:14" x14ac:dyDescent="0.2">
      <c r="A82" s="112" t="s">
        <v>344</v>
      </c>
      <c r="B82" s="113"/>
      <c r="C82" s="113"/>
      <c r="D82" s="113"/>
      <c r="E82" s="113"/>
      <c r="F82" s="113"/>
      <c r="G82" s="113"/>
      <c r="H82" s="113"/>
      <c r="I82" s="88">
        <v>117650.22</v>
      </c>
      <c r="J82" s="86"/>
      <c r="K82" s="86"/>
      <c r="L82" s="86"/>
      <c r="M82" s="86"/>
      <c r="N82" s="86"/>
    </row>
    <row r="83" spans="1:14" x14ac:dyDescent="0.2">
      <c r="A83" s="112" t="s">
        <v>342</v>
      </c>
      <c r="B83" s="113"/>
      <c r="C83" s="113"/>
      <c r="D83" s="113"/>
      <c r="E83" s="113"/>
      <c r="F83" s="113"/>
      <c r="G83" s="113"/>
      <c r="H83" s="113"/>
      <c r="I83" s="88"/>
      <c r="J83" s="86"/>
      <c r="K83" s="86"/>
      <c r="L83" s="86"/>
      <c r="M83" s="86"/>
      <c r="N83" s="86"/>
    </row>
    <row r="84" spans="1:14" x14ac:dyDescent="0.2">
      <c r="A84" s="112" t="s">
        <v>490</v>
      </c>
      <c r="B84" s="113"/>
      <c r="C84" s="113"/>
      <c r="D84" s="113"/>
      <c r="E84" s="113"/>
      <c r="F84" s="113"/>
      <c r="G84" s="113"/>
      <c r="H84" s="113"/>
      <c r="I84" s="88">
        <v>117650.22</v>
      </c>
      <c r="J84" s="86"/>
      <c r="K84" s="86"/>
      <c r="L84" s="86"/>
      <c r="M84" s="86"/>
      <c r="N84" s="86"/>
    </row>
    <row r="85" spans="1:14" x14ac:dyDescent="0.2">
      <c r="A85" s="134" t="s">
        <v>491</v>
      </c>
      <c r="B85" s="111"/>
      <c r="C85" s="111"/>
      <c r="D85" s="111"/>
      <c r="E85" s="111"/>
      <c r="F85" s="111"/>
      <c r="G85" s="111"/>
      <c r="H85" s="111"/>
      <c r="I85" s="88"/>
      <c r="J85" s="86"/>
      <c r="K85" s="86"/>
      <c r="L85" s="86"/>
      <c r="M85" s="86"/>
      <c r="N85" s="86"/>
    </row>
    <row r="86" spans="1:14" ht="33.75" x14ac:dyDescent="0.2">
      <c r="A86" s="112" t="s">
        <v>492</v>
      </c>
      <c r="B86" s="113"/>
      <c r="C86" s="113"/>
      <c r="D86" s="113"/>
      <c r="E86" s="113"/>
      <c r="F86" s="113"/>
      <c r="G86" s="113"/>
      <c r="H86" s="113"/>
      <c r="I86" s="88">
        <v>1345181.09</v>
      </c>
      <c r="J86" s="86"/>
      <c r="K86" s="86"/>
      <c r="L86" s="86"/>
      <c r="M86" s="86"/>
      <c r="N86" s="86" t="s">
        <v>488</v>
      </c>
    </row>
    <row r="87" spans="1:14" x14ac:dyDescent="0.2">
      <c r="A87" s="112" t="s">
        <v>493</v>
      </c>
      <c r="B87" s="113"/>
      <c r="C87" s="113"/>
      <c r="D87" s="113"/>
      <c r="E87" s="113"/>
      <c r="F87" s="113"/>
      <c r="G87" s="113"/>
      <c r="H87" s="113"/>
      <c r="I87" s="88">
        <v>716560.51</v>
      </c>
      <c r="J87" s="86"/>
      <c r="K87" s="86"/>
      <c r="L87" s="86"/>
      <c r="M87" s="86"/>
      <c r="N87" s="86"/>
    </row>
    <row r="88" spans="1:14" ht="33.75" x14ac:dyDescent="0.2">
      <c r="A88" s="112" t="s">
        <v>350</v>
      </c>
      <c r="B88" s="113"/>
      <c r="C88" s="113"/>
      <c r="D88" s="113"/>
      <c r="E88" s="113"/>
      <c r="F88" s="113"/>
      <c r="G88" s="113"/>
      <c r="H88" s="113"/>
      <c r="I88" s="88">
        <v>2061741.6</v>
      </c>
      <c r="J88" s="86"/>
      <c r="K88" s="86"/>
      <c r="L88" s="86"/>
      <c r="M88" s="86"/>
      <c r="N88" s="86" t="s">
        <v>488</v>
      </c>
    </row>
    <row r="89" spans="1:14" x14ac:dyDescent="0.2">
      <c r="A89" s="112" t="s">
        <v>351</v>
      </c>
      <c r="B89" s="113"/>
      <c r="C89" s="113"/>
      <c r="D89" s="113"/>
      <c r="E89" s="113"/>
      <c r="F89" s="113"/>
      <c r="G89" s="113"/>
      <c r="H89" s="113"/>
      <c r="I89" s="88"/>
      <c r="J89" s="86"/>
      <c r="K89" s="86"/>
      <c r="L89" s="86"/>
      <c r="M89" s="86"/>
      <c r="N89" s="86"/>
    </row>
    <row r="90" spans="1:14" x14ac:dyDescent="0.2">
      <c r="A90" s="112" t="s">
        <v>352</v>
      </c>
      <c r="B90" s="113"/>
      <c r="C90" s="113"/>
      <c r="D90" s="113"/>
      <c r="E90" s="113"/>
      <c r="F90" s="113"/>
      <c r="G90" s="113"/>
      <c r="H90" s="113"/>
      <c r="I90" s="88">
        <v>1501400</v>
      </c>
      <c r="J90" s="86"/>
      <c r="K90" s="86"/>
      <c r="L90" s="86"/>
      <c r="M90" s="86"/>
      <c r="N90" s="86"/>
    </row>
    <row r="91" spans="1:14" x14ac:dyDescent="0.2">
      <c r="A91" s="112" t="s">
        <v>353</v>
      </c>
      <c r="B91" s="113"/>
      <c r="C91" s="113"/>
      <c r="D91" s="113"/>
      <c r="E91" s="113"/>
      <c r="F91" s="113"/>
      <c r="G91" s="113"/>
      <c r="H91" s="113"/>
      <c r="I91" s="88">
        <v>28928.639999999999</v>
      </c>
      <c r="J91" s="86"/>
      <c r="K91" s="86"/>
      <c r="L91" s="86"/>
      <c r="M91" s="86"/>
      <c r="N91" s="86"/>
    </row>
    <row r="92" spans="1:14" x14ac:dyDescent="0.2">
      <c r="A92" s="112" t="s">
        <v>354</v>
      </c>
      <c r="B92" s="113"/>
      <c r="C92" s="113"/>
      <c r="D92" s="113"/>
      <c r="E92" s="113"/>
      <c r="F92" s="113"/>
      <c r="G92" s="113"/>
      <c r="H92" s="113"/>
      <c r="I92" s="88">
        <v>210089.67</v>
      </c>
      <c r="J92" s="86"/>
      <c r="K92" s="86"/>
      <c r="L92" s="86"/>
      <c r="M92" s="86"/>
      <c r="N92" s="86"/>
    </row>
    <row r="93" spans="1:14" x14ac:dyDescent="0.2">
      <c r="A93" s="112" t="s">
        <v>355</v>
      </c>
      <c r="B93" s="113"/>
      <c r="C93" s="113"/>
      <c r="D93" s="113"/>
      <c r="E93" s="113"/>
      <c r="F93" s="113"/>
      <c r="G93" s="113"/>
      <c r="H93" s="113"/>
      <c r="I93" s="88">
        <v>205887.88</v>
      </c>
      <c r="J93" s="86"/>
      <c r="K93" s="86"/>
      <c r="L93" s="86"/>
      <c r="M93" s="86"/>
      <c r="N93" s="86"/>
    </row>
    <row r="94" spans="1:14" x14ac:dyDescent="0.2">
      <c r="A94" s="112" t="s">
        <v>356</v>
      </c>
      <c r="B94" s="113"/>
      <c r="C94" s="113"/>
      <c r="D94" s="113"/>
      <c r="E94" s="113"/>
      <c r="F94" s="113"/>
      <c r="G94" s="113"/>
      <c r="H94" s="113"/>
      <c r="I94" s="88">
        <v>117650.22</v>
      </c>
      <c r="J94" s="86"/>
      <c r="K94" s="86"/>
      <c r="L94" s="86"/>
      <c r="M94" s="86"/>
      <c r="N94" s="86"/>
    </row>
    <row r="95" spans="1:14" ht="33.75" x14ac:dyDescent="0.2">
      <c r="A95" s="135" t="s">
        <v>494</v>
      </c>
      <c r="B95" s="136"/>
      <c r="C95" s="136"/>
      <c r="D95" s="136"/>
      <c r="E95" s="136"/>
      <c r="F95" s="136"/>
      <c r="G95" s="136"/>
      <c r="H95" s="136"/>
      <c r="I95" s="93">
        <v>2061741.6</v>
      </c>
      <c r="J95" s="91"/>
      <c r="K95" s="91"/>
      <c r="L95" s="91"/>
      <c r="M95" s="91"/>
      <c r="N95" s="91" t="s">
        <v>488</v>
      </c>
    </row>
    <row r="96" spans="1:14" ht="17.850000000000001" customHeight="1" x14ac:dyDescent="0.2">
      <c r="A96" s="110" t="s">
        <v>495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157.5" x14ac:dyDescent="0.2">
      <c r="A97" s="84">
        <v>38</v>
      </c>
      <c r="B97" s="85" t="s">
        <v>496</v>
      </c>
      <c r="C97" s="85" t="s">
        <v>497</v>
      </c>
      <c r="D97" s="84">
        <v>2.085</v>
      </c>
      <c r="E97" s="86" t="s">
        <v>498</v>
      </c>
      <c r="F97" s="86" t="s">
        <v>499</v>
      </c>
      <c r="G97" s="86">
        <v>202.72</v>
      </c>
      <c r="H97" s="87" t="s">
        <v>500</v>
      </c>
      <c r="I97" s="88">
        <v>4300.9799999999996</v>
      </c>
      <c r="J97" s="86">
        <v>2230.4899999999998</v>
      </c>
      <c r="K97" s="86" t="s">
        <v>501</v>
      </c>
      <c r="L97" s="86" t="str">
        <f>IF(2.085*202.72=0," ",TEXT(,ROUND((2.085*202.72*4.27),2)))</f>
        <v>1804.81</v>
      </c>
      <c r="M97" s="86" t="s">
        <v>502</v>
      </c>
      <c r="N97" s="86" t="s">
        <v>503</v>
      </c>
    </row>
    <row r="98" spans="1:14" ht="202.5" x14ac:dyDescent="0.2">
      <c r="A98" s="84">
        <v>39</v>
      </c>
      <c r="B98" s="85" t="s">
        <v>504</v>
      </c>
      <c r="C98" s="85" t="s">
        <v>505</v>
      </c>
      <c r="D98" s="84">
        <v>2.085</v>
      </c>
      <c r="E98" s="86" t="s">
        <v>506</v>
      </c>
      <c r="F98" s="86" t="s">
        <v>507</v>
      </c>
      <c r="G98" s="86">
        <v>401.56</v>
      </c>
      <c r="H98" s="87" t="s">
        <v>508</v>
      </c>
      <c r="I98" s="88">
        <v>6385.67</v>
      </c>
      <c r="J98" s="86">
        <v>1926.12</v>
      </c>
      <c r="K98" s="86" t="s">
        <v>509</v>
      </c>
      <c r="L98" s="86" t="str">
        <f>IF(2.085*401.56=0," ",TEXT(,ROUND((2.085*401.56*4.58),2)))</f>
        <v>3834.62</v>
      </c>
      <c r="M98" s="86" t="s">
        <v>510</v>
      </c>
      <c r="N98" s="86" t="s">
        <v>511</v>
      </c>
    </row>
    <row r="99" spans="1:14" ht="202.5" x14ac:dyDescent="0.2">
      <c r="A99" s="84">
        <v>40</v>
      </c>
      <c r="B99" s="85" t="s">
        <v>512</v>
      </c>
      <c r="C99" s="85" t="s">
        <v>513</v>
      </c>
      <c r="D99" s="84">
        <v>2.085</v>
      </c>
      <c r="E99" s="86" t="s">
        <v>514</v>
      </c>
      <c r="F99" s="86" t="s">
        <v>515</v>
      </c>
      <c r="G99" s="86">
        <v>562.55999999999995</v>
      </c>
      <c r="H99" s="87" t="s">
        <v>516</v>
      </c>
      <c r="I99" s="88">
        <v>8665.9699999999993</v>
      </c>
      <c r="J99" s="86">
        <v>2561.7800000000002</v>
      </c>
      <c r="K99" s="86" t="s">
        <v>517</v>
      </c>
      <c r="L99" s="86" t="str">
        <f>IF(2.085*562.56=0," ",TEXT(,ROUND((2.085*562.56*4.94),2)))</f>
        <v>5794.31</v>
      </c>
      <c r="M99" s="86" t="s">
        <v>518</v>
      </c>
      <c r="N99" s="86" t="s">
        <v>519</v>
      </c>
    </row>
    <row r="100" spans="1:14" ht="168.75" x14ac:dyDescent="0.2">
      <c r="A100" s="84">
        <v>41</v>
      </c>
      <c r="B100" s="85" t="s">
        <v>520</v>
      </c>
      <c r="C100" s="85" t="s">
        <v>521</v>
      </c>
      <c r="D100" s="84">
        <v>9.1999999999999993</v>
      </c>
      <c r="E100" s="86" t="s">
        <v>522</v>
      </c>
      <c r="F100" s="86">
        <v>71.44</v>
      </c>
      <c r="G100" s="86">
        <v>1320.96</v>
      </c>
      <c r="H100" s="87" t="s">
        <v>523</v>
      </c>
      <c r="I100" s="88">
        <v>81393.69</v>
      </c>
      <c r="J100" s="86">
        <v>32020.05</v>
      </c>
      <c r="K100" s="86">
        <v>7446.39</v>
      </c>
      <c r="L100" s="86" t="str">
        <f>IF(9.2*1320.96=0," ",TEXT(,ROUND((9.2*1320.96*3.45),2)))</f>
        <v>41927.27</v>
      </c>
      <c r="M100" s="86">
        <v>21.68</v>
      </c>
      <c r="N100" s="86">
        <v>199.46</v>
      </c>
    </row>
    <row r="101" spans="1:14" ht="67.5" x14ac:dyDescent="0.2">
      <c r="A101" s="84">
        <v>42</v>
      </c>
      <c r="B101" s="85" t="s">
        <v>524</v>
      </c>
      <c r="C101" s="85" t="s">
        <v>525</v>
      </c>
      <c r="D101" s="84">
        <v>-14.17</v>
      </c>
      <c r="E101" s="86">
        <v>542.4</v>
      </c>
      <c r="F101" s="86"/>
      <c r="G101" s="86">
        <v>542.4</v>
      </c>
      <c r="H101" s="87" t="s">
        <v>526</v>
      </c>
      <c r="I101" s="88">
        <v>-26308.59</v>
      </c>
      <c r="J101" s="86"/>
      <c r="K101" s="86"/>
      <c r="L101" s="86" t="str">
        <f>IF(-14.17*542.4=0," ",TEXT(,ROUND((-14.17*542.4*3.423),2)))</f>
        <v>-26308.52</v>
      </c>
      <c r="M101" s="86"/>
      <c r="N101" s="86"/>
    </row>
    <row r="102" spans="1:14" ht="45" x14ac:dyDescent="0.2">
      <c r="A102" s="89">
        <v>43</v>
      </c>
      <c r="B102" s="90" t="s">
        <v>527</v>
      </c>
      <c r="C102" s="90" t="s">
        <v>528</v>
      </c>
      <c r="D102" s="89">
        <v>14.17</v>
      </c>
      <c r="E102" s="91">
        <v>633.61</v>
      </c>
      <c r="F102" s="91"/>
      <c r="G102" s="91">
        <v>633.61</v>
      </c>
      <c r="H102" s="92" t="s">
        <v>435</v>
      </c>
      <c r="I102" s="93">
        <v>50098.6</v>
      </c>
      <c r="J102" s="91"/>
      <c r="K102" s="91"/>
      <c r="L102" s="91" t="str">
        <f>IF(14.17*633.61=0," ",TEXT(,ROUND((14.17*633.61*5.58),2)))</f>
        <v>50098.66</v>
      </c>
      <c r="M102" s="91"/>
      <c r="N102" s="91"/>
    </row>
    <row r="103" spans="1:14" ht="22.5" x14ac:dyDescent="0.2">
      <c r="A103" s="112" t="s">
        <v>338</v>
      </c>
      <c r="B103" s="113"/>
      <c r="C103" s="113"/>
      <c r="D103" s="113"/>
      <c r="E103" s="113"/>
      <c r="F103" s="113"/>
      <c r="G103" s="113"/>
      <c r="H103" s="113"/>
      <c r="I103" s="88">
        <v>124536.32000000001</v>
      </c>
      <c r="J103" s="86">
        <v>38738.44</v>
      </c>
      <c r="K103" s="86" t="s">
        <v>529</v>
      </c>
      <c r="L103" s="86">
        <v>77150.990000000005</v>
      </c>
      <c r="M103" s="86"/>
      <c r="N103" s="86" t="s">
        <v>530</v>
      </c>
    </row>
    <row r="104" spans="1:14" x14ac:dyDescent="0.2">
      <c r="A104" s="112" t="s">
        <v>341</v>
      </c>
      <c r="B104" s="113"/>
      <c r="C104" s="113"/>
      <c r="D104" s="113"/>
      <c r="E104" s="113"/>
      <c r="F104" s="113"/>
      <c r="G104" s="113"/>
      <c r="H104" s="113"/>
      <c r="I104" s="88">
        <v>29304.74</v>
      </c>
      <c r="J104" s="86"/>
      <c r="K104" s="86"/>
      <c r="L104" s="86"/>
      <c r="M104" s="86"/>
      <c r="N104" s="86"/>
    </row>
    <row r="105" spans="1:14" x14ac:dyDescent="0.2">
      <c r="A105" s="112" t="s">
        <v>342</v>
      </c>
      <c r="B105" s="113"/>
      <c r="C105" s="113"/>
      <c r="D105" s="113"/>
      <c r="E105" s="113"/>
      <c r="F105" s="113"/>
      <c r="G105" s="113"/>
      <c r="H105" s="113"/>
      <c r="I105" s="88"/>
      <c r="J105" s="86"/>
      <c r="K105" s="86"/>
      <c r="L105" s="86"/>
      <c r="M105" s="86"/>
      <c r="N105" s="86"/>
    </row>
    <row r="106" spans="1:14" x14ac:dyDescent="0.2">
      <c r="A106" s="112" t="s">
        <v>531</v>
      </c>
      <c r="B106" s="113"/>
      <c r="C106" s="113"/>
      <c r="D106" s="113"/>
      <c r="E106" s="113"/>
      <c r="F106" s="113"/>
      <c r="G106" s="113"/>
      <c r="H106" s="113"/>
      <c r="I106" s="88">
        <v>4649.3</v>
      </c>
      <c r="J106" s="86"/>
      <c r="K106" s="86"/>
      <c r="L106" s="86"/>
      <c r="M106" s="86"/>
      <c r="N106" s="86"/>
    </row>
    <row r="107" spans="1:14" x14ac:dyDescent="0.2">
      <c r="A107" s="112" t="s">
        <v>532</v>
      </c>
      <c r="B107" s="113"/>
      <c r="C107" s="113"/>
      <c r="D107" s="113"/>
      <c r="E107" s="113"/>
      <c r="F107" s="113"/>
      <c r="G107" s="113"/>
      <c r="H107" s="113"/>
      <c r="I107" s="88">
        <v>24655.439999999999</v>
      </c>
      <c r="J107" s="86"/>
      <c r="K107" s="86"/>
      <c r="L107" s="86"/>
      <c r="M107" s="86"/>
      <c r="N107" s="86"/>
    </row>
    <row r="108" spans="1:14" x14ac:dyDescent="0.2">
      <c r="A108" s="112" t="s">
        <v>344</v>
      </c>
      <c r="B108" s="113"/>
      <c r="C108" s="113"/>
      <c r="D108" s="113"/>
      <c r="E108" s="113"/>
      <c r="F108" s="113"/>
      <c r="G108" s="113"/>
      <c r="H108" s="113"/>
      <c r="I108" s="88">
        <v>18603.91</v>
      </c>
      <c r="J108" s="86"/>
      <c r="K108" s="86"/>
      <c r="L108" s="86"/>
      <c r="M108" s="86"/>
      <c r="N108" s="86"/>
    </row>
    <row r="109" spans="1:14" x14ac:dyDescent="0.2">
      <c r="A109" s="112" t="s">
        <v>342</v>
      </c>
      <c r="B109" s="113"/>
      <c r="C109" s="113"/>
      <c r="D109" s="113"/>
      <c r="E109" s="113"/>
      <c r="F109" s="113"/>
      <c r="G109" s="113"/>
      <c r="H109" s="113"/>
      <c r="I109" s="88"/>
      <c r="J109" s="86"/>
      <c r="K109" s="86"/>
      <c r="L109" s="86"/>
      <c r="M109" s="86"/>
      <c r="N109" s="86"/>
    </row>
    <row r="110" spans="1:14" x14ac:dyDescent="0.2">
      <c r="A110" s="112" t="s">
        <v>533</v>
      </c>
      <c r="B110" s="113"/>
      <c r="C110" s="113"/>
      <c r="D110" s="113"/>
      <c r="E110" s="113"/>
      <c r="F110" s="113"/>
      <c r="G110" s="113"/>
      <c r="H110" s="113"/>
      <c r="I110" s="88">
        <v>18603.91</v>
      </c>
      <c r="J110" s="86"/>
      <c r="K110" s="86"/>
      <c r="L110" s="86"/>
      <c r="M110" s="86"/>
      <c r="N110" s="86"/>
    </row>
    <row r="111" spans="1:14" x14ac:dyDescent="0.2">
      <c r="A111" s="134" t="s">
        <v>534</v>
      </c>
      <c r="B111" s="111"/>
      <c r="C111" s="111"/>
      <c r="D111" s="111"/>
      <c r="E111" s="111"/>
      <c r="F111" s="111"/>
      <c r="G111" s="111"/>
      <c r="H111" s="111"/>
      <c r="I111" s="88"/>
      <c r="J111" s="86"/>
      <c r="K111" s="86"/>
      <c r="L111" s="86"/>
      <c r="M111" s="86"/>
      <c r="N111" s="86"/>
    </row>
    <row r="112" spans="1:14" ht="22.5" x14ac:dyDescent="0.2">
      <c r="A112" s="112" t="s">
        <v>535</v>
      </c>
      <c r="B112" s="113"/>
      <c r="C112" s="113"/>
      <c r="D112" s="113"/>
      <c r="E112" s="113"/>
      <c r="F112" s="113"/>
      <c r="G112" s="113"/>
      <c r="H112" s="113"/>
      <c r="I112" s="88">
        <v>27236.21</v>
      </c>
      <c r="J112" s="86"/>
      <c r="K112" s="86"/>
      <c r="L112" s="86"/>
      <c r="M112" s="86"/>
      <c r="N112" s="86" t="s">
        <v>536</v>
      </c>
    </row>
    <row r="113" spans="1:14" x14ac:dyDescent="0.2">
      <c r="A113" s="112" t="s">
        <v>537</v>
      </c>
      <c r="B113" s="113"/>
      <c r="C113" s="113"/>
      <c r="D113" s="113"/>
      <c r="E113" s="113"/>
      <c r="F113" s="113"/>
      <c r="G113" s="113"/>
      <c r="H113" s="113"/>
      <c r="I113" s="88">
        <v>121418.75</v>
      </c>
      <c r="J113" s="86"/>
      <c r="K113" s="86"/>
      <c r="L113" s="86"/>
      <c r="M113" s="86"/>
      <c r="N113" s="86">
        <v>199.46</v>
      </c>
    </row>
    <row r="114" spans="1:14" x14ac:dyDescent="0.2">
      <c r="A114" s="112" t="s">
        <v>493</v>
      </c>
      <c r="B114" s="113"/>
      <c r="C114" s="113"/>
      <c r="D114" s="113"/>
      <c r="E114" s="113"/>
      <c r="F114" s="113"/>
      <c r="G114" s="113"/>
      <c r="H114" s="113"/>
      <c r="I114" s="88">
        <v>23790.01</v>
      </c>
      <c r="J114" s="86"/>
      <c r="K114" s="86"/>
      <c r="L114" s="86"/>
      <c r="M114" s="86"/>
      <c r="N114" s="86"/>
    </row>
    <row r="115" spans="1:14" ht="22.5" x14ac:dyDescent="0.2">
      <c r="A115" s="112" t="s">
        <v>350</v>
      </c>
      <c r="B115" s="113"/>
      <c r="C115" s="113"/>
      <c r="D115" s="113"/>
      <c r="E115" s="113"/>
      <c r="F115" s="113"/>
      <c r="G115" s="113"/>
      <c r="H115" s="113"/>
      <c r="I115" s="88">
        <v>172444.97</v>
      </c>
      <c r="J115" s="86"/>
      <c r="K115" s="86"/>
      <c r="L115" s="86"/>
      <c r="M115" s="86"/>
      <c r="N115" s="86" t="s">
        <v>530</v>
      </c>
    </row>
    <row r="116" spans="1:14" x14ac:dyDescent="0.2">
      <c r="A116" s="112" t="s">
        <v>351</v>
      </c>
      <c r="B116" s="113"/>
      <c r="C116" s="113"/>
      <c r="D116" s="113"/>
      <c r="E116" s="113"/>
      <c r="F116" s="113"/>
      <c r="G116" s="113"/>
      <c r="H116" s="113"/>
      <c r="I116" s="88"/>
      <c r="J116" s="86"/>
      <c r="K116" s="86"/>
      <c r="L116" s="86"/>
      <c r="M116" s="86"/>
      <c r="N116" s="86"/>
    </row>
    <row r="117" spans="1:14" x14ac:dyDescent="0.2">
      <c r="A117" s="112" t="s">
        <v>352</v>
      </c>
      <c r="B117" s="113"/>
      <c r="C117" s="113"/>
      <c r="D117" s="113"/>
      <c r="E117" s="113"/>
      <c r="F117" s="113"/>
      <c r="G117" s="113"/>
      <c r="H117" s="113"/>
      <c r="I117" s="88">
        <v>77150.990000000005</v>
      </c>
      <c r="J117" s="86"/>
      <c r="K117" s="86"/>
      <c r="L117" s="86"/>
      <c r="M117" s="86"/>
      <c r="N117" s="86"/>
    </row>
    <row r="118" spans="1:14" x14ac:dyDescent="0.2">
      <c r="A118" s="112" t="s">
        <v>353</v>
      </c>
      <c r="B118" s="113"/>
      <c r="C118" s="113"/>
      <c r="D118" s="113"/>
      <c r="E118" s="113"/>
      <c r="F118" s="113"/>
      <c r="G118" s="113"/>
      <c r="H118" s="113"/>
      <c r="I118" s="88">
        <v>8646.89</v>
      </c>
      <c r="J118" s="86"/>
      <c r="K118" s="86"/>
      <c r="L118" s="86"/>
      <c r="M118" s="86"/>
      <c r="N118" s="86"/>
    </row>
    <row r="119" spans="1:14" x14ac:dyDescent="0.2">
      <c r="A119" s="112" t="s">
        <v>354</v>
      </c>
      <c r="B119" s="113"/>
      <c r="C119" s="113"/>
      <c r="D119" s="113"/>
      <c r="E119" s="113"/>
      <c r="F119" s="113"/>
      <c r="G119" s="113"/>
      <c r="H119" s="113"/>
      <c r="I119" s="88">
        <v>38758.160000000003</v>
      </c>
      <c r="J119" s="86"/>
      <c r="K119" s="86"/>
      <c r="L119" s="86"/>
      <c r="M119" s="86"/>
      <c r="N119" s="86"/>
    </row>
    <row r="120" spans="1:14" x14ac:dyDescent="0.2">
      <c r="A120" s="112" t="s">
        <v>355</v>
      </c>
      <c r="B120" s="113"/>
      <c r="C120" s="113"/>
      <c r="D120" s="113"/>
      <c r="E120" s="113"/>
      <c r="F120" s="113"/>
      <c r="G120" s="113"/>
      <c r="H120" s="113"/>
      <c r="I120" s="88">
        <v>29304.74</v>
      </c>
      <c r="J120" s="86"/>
      <c r="K120" s="86"/>
      <c r="L120" s="86"/>
      <c r="M120" s="86"/>
      <c r="N120" s="86"/>
    </row>
    <row r="121" spans="1:14" x14ac:dyDescent="0.2">
      <c r="A121" s="112" t="s">
        <v>356</v>
      </c>
      <c r="B121" s="113"/>
      <c r="C121" s="113"/>
      <c r="D121" s="113"/>
      <c r="E121" s="113"/>
      <c r="F121" s="113"/>
      <c r="G121" s="113"/>
      <c r="H121" s="113"/>
      <c r="I121" s="88">
        <v>18603.91</v>
      </c>
      <c r="J121" s="86"/>
      <c r="K121" s="86"/>
      <c r="L121" s="86"/>
      <c r="M121" s="86"/>
      <c r="N121" s="86"/>
    </row>
    <row r="122" spans="1:14" ht="22.5" x14ac:dyDescent="0.2">
      <c r="A122" s="135" t="s">
        <v>538</v>
      </c>
      <c r="B122" s="136"/>
      <c r="C122" s="136"/>
      <c r="D122" s="136"/>
      <c r="E122" s="136"/>
      <c r="F122" s="136"/>
      <c r="G122" s="136"/>
      <c r="H122" s="136"/>
      <c r="I122" s="93">
        <v>172444.97</v>
      </c>
      <c r="J122" s="91"/>
      <c r="K122" s="91"/>
      <c r="L122" s="91"/>
      <c r="M122" s="91"/>
      <c r="N122" s="91" t="s">
        <v>530</v>
      </c>
    </row>
    <row r="123" spans="1:14" ht="17.850000000000001" customHeight="1" x14ac:dyDescent="0.2">
      <c r="A123" s="110" t="s">
        <v>539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1:14" ht="168.75" x14ac:dyDescent="0.2">
      <c r="A124" s="84">
        <v>44</v>
      </c>
      <c r="B124" s="85" t="s">
        <v>540</v>
      </c>
      <c r="C124" s="85" t="s">
        <v>541</v>
      </c>
      <c r="D124" s="84">
        <v>1.56</v>
      </c>
      <c r="E124" s="86" t="s">
        <v>542</v>
      </c>
      <c r="F124" s="86" t="s">
        <v>543</v>
      </c>
      <c r="G124" s="86">
        <v>5001.6000000000004</v>
      </c>
      <c r="H124" s="87" t="s">
        <v>544</v>
      </c>
      <c r="I124" s="88">
        <v>65444.09</v>
      </c>
      <c r="J124" s="86">
        <v>10524.03</v>
      </c>
      <c r="K124" s="86" t="s">
        <v>545</v>
      </c>
      <c r="L124" s="86" t="str">
        <f>IF(1.56*5001.6=0," ",TEXT(,ROUND((1.56*5001.6*6.88),2)))</f>
        <v>53681.17</v>
      </c>
      <c r="M124" s="86" t="s">
        <v>546</v>
      </c>
      <c r="N124" s="86" t="s">
        <v>547</v>
      </c>
    </row>
    <row r="125" spans="1:14" ht="168.75" x14ac:dyDescent="0.2">
      <c r="A125" s="84">
        <v>45</v>
      </c>
      <c r="B125" s="85" t="s">
        <v>548</v>
      </c>
      <c r="C125" s="85" t="s">
        <v>549</v>
      </c>
      <c r="D125" s="84">
        <v>0.12</v>
      </c>
      <c r="E125" s="86" t="s">
        <v>550</v>
      </c>
      <c r="F125" s="86" t="s">
        <v>543</v>
      </c>
      <c r="G125" s="86">
        <v>4319.0600000000004</v>
      </c>
      <c r="H125" s="87" t="s">
        <v>551</v>
      </c>
      <c r="I125" s="88">
        <v>4377.3599999999997</v>
      </c>
      <c r="J125" s="86">
        <v>809.54</v>
      </c>
      <c r="K125" s="86" t="s">
        <v>552</v>
      </c>
      <c r="L125" s="86" t="str">
        <f>IF(0.12*4319.06=0," ",TEXT(,ROUND((0.12*4319.06*6.7),2)))</f>
        <v>3472.52</v>
      </c>
      <c r="M125" s="86" t="s">
        <v>546</v>
      </c>
      <c r="N125" s="86" t="s">
        <v>553</v>
      </c>
    </row>
    <row r="126" spans="1:14" ht="168.75" x14ac:dyDescent="0.2">
      <c r="A126" s="84">
        <v>46</v>
      </c>
      <c r="B126" s="85" t="s">
        <v>554</v>
      </c>
      <c r="C126" s="85" t="s">
        <v>555</v>
      </c>
      <c r="D126" s="84">
        <v>0.22</v>
      </c>
      <c r="E126" s="86" t="s">
        <v>556</v>
      </c>
      <c r="F126" s="86" t="s">
        <v>543</v>
      </c>
      <c r="G126" s="86">
        <v>3603.98</v>
      </c>
      <c r="H126" s="87" t="s">
        <v>557</v>
      </c>
      <c r="I126" s="88">
        <v>6971.14</v>
      </c>
      <c r="J126" s="86">
        <v>1484.16</v>
      </c>
      <c r="K126" s="86" t="s">
        <v>558</v>
      </c>
      <c r="L126" s="86" t="str">
        <f>IF(0.22*3603.98=0," ",TEXT(,ROUND((0.22*3603.98*6.7),2)))</f>
        <v>5312.27</v>
      </c>
      <c r="M126" s="86" t="s">
        <v>546</v>
      </c>
      <c r="N126" s="86" t="s">
        <v>559</v>
      </c>
    </row>
    <row r="127" spans="1:14" ht="168.75" x14ac:dyDescent="0.2">
      <c r="A127" s="84">
        <v>47</v>
      </c>
      <c r="B127" s="85" t="s">
        <v>419</v>
      </c>
      <c r="C127" s="85" t="s">
        <v>420</v>
      </c>
      <c r="D127" s="84">
        <v>1.9</v>
      </c>
      <c r="E127" s="86" t="s">
        <v>421</v>
      </c>
      <c r="F127" s="86">
        <v>55.64</v>
      </c>
      <c r="G127" s="86">
        <v>4.28</v>
      </c>
      <c r="H127" s="87" t="s">
        <v>422</v>
      </c>
      <c r="I127" s="88">
        <v>2231.5300000000002</v>
      </c>
      <c r="J127" s="86">
        <v>2096.21</v>
      </c>
      <c r="K127" s="86">
        <v>75.05</v>
      </c>
      <c r="L127" s="86" t="str">
        <f>IF(1.9*4.28=0," ",TEXT(,ROUND((1.9*4.28*7.41),2)))</f>
        <v>60.26</v>
      </c>
      <c r="M127" s="86">
        <v>5.76</v>
      </c>
      <c r="N127" s="86">
        <v>10.94</v>
      </c>
    </row>
    <row r="128" spans="1:14" ht="67.5" x14ac:dyDescent="0.2">
      <c r="A128" s="84">
        <v>48</v>
      </c>
      <c r="B128" s="85" t="s">
        <v>423</v>
      </c>
      <c r="C128" s="85" t="s">
        <v>424</v>
      </c>
      <c r="D128" s="84">
        <v>80</v>
      </c>
      <c r="E128" s="86">
        <v>11.99</v>
      </c>
      <c r="F128" s="86"/>
      <c r="G128" s="86">
        <v>11.99</v>
      </c>
      <c r="H128" s="87" t="s">
        <v>425</v>
      </c>
      <c r="I128" s="88">
        <v>3147.2</v>
      </c>
      <c r="J128" s="86"/>
      <c r="K128" s="86"/>
      <c r="L128" s="86" t="str">
        <f>IF(80*11.99=0," ",TEXT(,ROUND((80*11.99*3.281),2)))</f>
        <v>3147.14</v>
      </c>
      <c r="M128" s="86"/>
      <c r="N128" s="86"/>
    </row>
    <row r="129" spans="1:14" ht="45" x14ac:dyDescent="0.2">
      <c r="A129" s="84">
        <v>49</v>
      </c>
      <c r="B129" s="85" t="s">
        <v>433</v>
      </c>
      <c r="C129" s="85" t="s">
        <v>560</v>
      </c>
      <c r="D129" s="84">
        <v>2</v>
      </c>
      <c r="E129" s="86">
        <v>97.96</v>
      </c>
      <c r="F129" s="86"/>
      <c r="G129" s="86">
        <v>97.96</v>
      </c>
      <c r="H129" s="87" t="s">
        <v>435</v>
      </c>
      <c r="I129" s="88">
        <v>1093.24</v>
      </c>
      <c r="J129" s="86"/>
      <c r="K129" s="86"/>
      <c r="L129" s="86" t="str">
        <f>IF(2*97.96=0," ",TEXT(,ROUND((2*97.96*5.58),2)))</f>
        <v>1093.23</v>
      </c>
      <c r="M129" s="86"/>
      <c r="N129" s="86"/>
    </row>
    <row r="130" spans="1:14" ht="45" x14ac:dyDescent="0.2">
      <c r="A130" s="84">
        <v>50</v>
      </c>
      <c r="B130" s="85" t="s">
        <v>433</v>
      </c>
      <c r="C130" s="85" t="s">
        <v>561</v>
      </c>
      <c r="D130" s="84">
        <v>4</v>
      </c>
      <c r="E130" s="86">
        <v>58.78</v>
      </c>
      <c r="F130" s="86"/>
      <c r="G130" s="86">
        <v>58.78</v>
      </c>
      <c r="H130" s="87" t="s">
        <v>435</v>
      </c>
      <c r="I130" s="88">
        <v>1311.96</v>
      </c>
      <c r="J130" s="86"/>
      <c r="K130" s="86"/>
      <c r="L130" s="86" t="str">
        <f>IF(4*58.78=0," ",TEXT(,ROUND((4*58.78*5.58),2)))</f>
        <v>1311.97</v>
      </c>
      <c r="M130" s="86"/>
      <c r="N130" s="86"/>
    </row>
    <row r="131" spans="1:14" ht="45" x14ac:dyDescent="0.2">
      <c r="A131" s="84">
        <v>51</v>
      </c>
      <c r="B131" s="85" t="s">
        <v>433</v>
      </c>
      <c r="C131" s="85" t="s">
        <v>436</v>
      </c>
      <c r="D131" s="84">
        <v>6</v>
      </c>
      <c r="E131" s="86">
        <v>19.14</v>
      </c>
      <c r="F131" s="86"/>
      <c r="G131" s="86">
        <v>19.14</v>
      </c>
      <c r="H131" s="87" t="s">
        <v>435</v>
      </c>
      <c r="I131" s="88">
        <v>640.79999999999995</v>
      </c>
      <c r="J131" s="86"/>
      <c r="K131" s="86"/>
      <c r="L131" s="86" t="str">
        <f>IF(6*19.14=0," ",TEXT(,ROUND((6*19.14*5.58),2)))</f>
        <v>640.81</v>
      </c>
      <c r="M131" s="86"/>
      <c r="N131" s="86"/>
    </row>
    <row r="132" spans="1:14" ht="45" x14ac:dyDescent="0.2">
      <c r="A132" s="89">
        <v>52</v>
      </c>
      <c r="B132" s="90" t="s">
        <v>433</v>
      </c>
      <c r="C132" s="90" t="s">
        <v>562</v>
      </c>
      <c r="D132" s="89">
        <v>31</v>
      </c>
      <c r="E132" s="91">
        <v>35.54</v>
      </c>
      <c r="F132" s="91"/>
      <c r="G132" s="91">
        <v>35.54</v>
      </c>
      <c r="H132" s="92" t="s">
        <v>435</v>
      </c>
      <c r="I132" s="93">
        <v>6147.61</v>
      </c>
      <c r="J132" s="91"/>
      <c r="K132" s="91"/>
      <c r="L132" s="91" t="str">
        <f>IF(31*35.54=0," ",TEXT(,ROUND((31*35.54*5.58),2)))</f>
        <v>6147.71</v>
      </c>
      <c r="M132" s="91"/>
      <c r="N132" s="91"/>
    </row>
    <row r="133" spans="1:14" ht="22.5" x14ac:dyDescent="0.2">
      <c r="A133" s="112" t="s">
        <v>338</v>
      </c>
      <c r="B133" s="113"/>
      <c r="C133" s="113"/>
      <c r="D133" s="113"/>
      <c r="E133" s="113"/>
      <c r="F133" s="113"/>
      <c r="G133" s="113"/>
      <c r="H133" s="113"/>
      <c r="I133" s="88">
        <v>91364.93</v>
      </c>
      <c r="J133" s="86">
        <v>14913.94</v>
      </c>
      <c r="K133" s="86" t="s">
        <v>563</v>
      </c>
      <c r="L133" s="86">
        <v>74867.009999999995</v>
      </c>
      <c r="M133" s="86"/>
      <c r="N133" s="86" t="s">
        <v>564</v>
      </c>
    </row>
    <row r="134" spans="1:14" x14ac:dyDescent="0.2">
      <c r="A134" s="112" t="s">
        <v>341</v>
      </c>
      <c r="B134" s="113"/>
      <c r="C134" s="113"/>
      <c r="D134" s="113"/>
      <c r="E134" s="113"/>
      <c r="F134" s="113"/>
      <c r="G134" s="113"/>
      <c r="H134" s="113"/>
      <c r="I134" s="88">
        <v>14693.38</v>
      </c>
      <c r="J134" s="86"/>
      <c r="K134" s="86"/>
      <c r="L134" s="86"/>
      <c r="M134" s="86"/>
      <c r="N134" s="86"/>
    </row>
    <row r="135" spans="1:14" x14ac:dyDescent="0.2">
      <c r="A135" s="112" t="s">
        <v>342</v>
      </c>
      <c r="B135" s="113"/>
      <c r="C135" s="113"/>
      <c r="D135" s="113"/>
      <c r="E135" s="113"/>
      <c r="F135" s="113"/>
      <c r="G135" s="113"/>
      <c r="H135" s="113"/>
      <c r="I135" s="88"/>
      <c r="J135" s="86"/>
      <c r="K135" s="86"/>
      <c r="L135" s="86"/>
      <c r="M135" s="86"/>
      <c r="N135" s="86"/>
    </row>
    <row r="136" spans="1:14" x14ac:dyDescent="0.2">
      <c r="A136" s="112" t="s">
        <v>565</v>
      </c>
      <c r="B136" s="113"/>
      <c r="C136" s="113"/>
      <c r="D136" s="113"/>
      <c r="E136" s="113"/>
      <c r="F136" s="113"/>
      <c r="G136" s="113"/>
      <c r="H136" s="113"/>
      <c r="I136" s="88">
        <v>14693.38</v>
      </c>
      <c r="J136" s="86"/>
      <c r="K136" s="86"/>
      <c r="L136" s="86"/>
      <c r="M136" s="86"/>
      <c r="N136" s="86"/>
    </row>
    <row r="137" spans="1:14" x14ac:dyDescent="0.2">
      <c r="A137" s="112" t="s">
        <v>344</v>
      </c>
      <c r="B137" s="113"/>
      <c r="C137" s="113"/>
      <c r="D137" s="113"/>
      <c r="E137" s="113"/>
      <c r="F137" s="113"/>
      <c r="G137" s="113"/>
      <c r="H137" s="113"/>
      <c r="I137" s="88">
        <v>8396.2099999999991</v>
      </c>
      <c r="J137" s="86"/>
      <c r="K137" s="86"/>
      <c r="L137" s="86"/>
      <c r="M137" s="86"/>
      <c r="N137" s="86"/>
    </row>
    <row r="138" spans="1:14" x14ac:dyDescent="0.2">
      <c r="A138" s="112" t="s">
        <v>342</v>
      </c>
      <c r="B138" s="113"/>
      <c r="C138" s="113"/>
      <c r="D138" s="113"/>
      <c r="E138" s="113"/>
      <c r="F138" s="113"/>
      <c r="G138" s="113"/>
      <c r="H138" s="113"/>
      <c r="I138" s="88"/>
      <c r="J138" s="86"/>
      <c r="K138" s="86"/>
      <c r="L138" s="86"/>
      <c r="M138" s="86"/>
      <c r="N138" s="86"/>
    </row>
    <row r="139" spans="1:14" x14ac:dyDescent="0.2">
      <c r="A139" s="112" t="s">
        <v>566</v>
      </c>
      <c r="B139" s="113"/>
      <c r="C139" s="113"/>
      <c r="D139" s="113"/>
      <c r="E139" s="113"/>
      <c r="F139" s="113"/>
      <c r="G139" s="113"/>
      <c r="H139" s="113"/>
      <c r="I139" s="88">
        <v>8396.2099999999991</v>
      </c>
      <c r="J139" s="86"/>
      <c r="K139" s="86"/>
      <c r="L139" s="86"/>
      <c r="M139" s="86"/>
      <c r="N139" s="86"/>
    </row>
    <row r="140" spans="1:14" x14ac:dyDescent="0.2">
      <c r="A140" s="134" t="s">
        <v>567</v>
      </c>
      <c r="B140" s="111"/>
      <c r="C140" s="111"/>
      <c r="D140" s="111"/>
      <c r="E140" s="111"/>
      <c r="F140" s="111"/>
      <c r="G140" s="111"/>
      <c r="H140" s="111"/>
      <c r="I140" s="88"/>
      <c r="J140" s="86"/>
      <c r="K140" s="86"/>
      <c r="L140" s="86"/>
      <c r="M140" s="86"/>
      <c r="N140" s="86"/>
    </row>
    <row r="141" spans="1:14" ht="22.5" x14ac:dyDescent="0.2">
      <c r="A141" s="112" t="s">
        <v>492</v>
      </c>
      <c r="B141" s="113"/>
      <c r="C141" s="113"/>
      <c r="D141" s="113"/>
      <c r="E141" s="113"/>
      <c r="F141" s="113"/>
      <c r="G141" s="113"/>
      <c r="H141" s="113"/>
      <c r="I141" s="88">
        <v>105260.91</v>
      </c>
      <c r="J141" s="86"/>
      <c r="K141" s="86"/>
      <c r="L141" s="86"/>
      <c r="M141" s="86"/>
      <c r="N141" s="86" t="s">
        <v>564</v>
      </c>
    </row>
    <row r="142" spans="1:14" x14ac:dyDescent="0.2">
      <c r="A142" s="112" t="s">
        <v>493</v>
      </c>
      <c r="B142" s="113"/>
      <c r="C142" s="113"/>
      <c r="D142" s="113"/>
      <c r="E142" s="113"/>
      <c r="F142" s="113"/>
      <c r="G142" s="113"/>
      <c r="H142" s="113"/>
      <c r="I142" s="88">
        <v>9193.61</v>
      </c>
      <c r="J142" s="86"/>
      <c r="K142" s="86"/>
      <c r="L142" s="86"/>
      <c r="M142" s="86"/>
      <c r="N142" s="86"/>
    </row>
    <row r="143" spans="1:14" ht="22.5" x14ac:dyDescent="0.2">
      <c r="A143" s="112" t="s">
        <v>350</v>
      </c>
      <c r="B143" s="113"/>
      <c r="C143" s="113"/>
      <c r="D143" s="113"/>
      <c r="E143" s="113"/>
      <c r="F143" s="113"/>
      <c r="G143" s="113"/>
      <c r="H143" s="113"/>
      <c r="I143" s="88">
        <v>114454.52</v>
      </c>
      <c r="J143" s="86"/>
      <c r="K143" s="86"/>
      <c r="L143" s="86"/>
      <c r="M143" s="86"/>
      <c r="N143" s="86" t="s">
        <v>564</v>
      </c>
    </row>
    <row r="144" spans="1:14" x14ac:dyDescent="0.2">
      <c r="A144" s="112" t="s">
        <v>351</v>
      </c>
      <c r="B144" s="113"/>
      <c r="C144" s="113"/>
      <c r="D144" s="113"/>
      <c r="E144" s="113"/>
      <c r="F144" s="113"/>
      <c r="G144" s="113"/>
      <c r="H144" s="113"/>
      <c r="I144" s="88"/>
      <c r="J144" s="86"/>
      <c r="K144" s="86"/>
      <c r="L144" s="86"/>
      <c r="M144" s="86"/>
      <c r="N144" s="86"/>
    </row>
    <row r="145" spans="1:14" x14ac:dyDescent="0.2">
      <c r="A145" s="112" t="s">
        <v>352</v>
      </c>
      <c r="B145" s="113"/>
      <c r="C145" s="113"/>
      <c r="D145" s="113"/>
      <c r="E145" s="113"/>
      <c r="F145" s="113"/>
      <c r="G145" s="113"/>
      <c r="H145" s="113"/>
      <c r="I145" s="88">
        <v>74867.009999999995</v>
      </c>
      <c r="J145" s="86"/>
      <c r="K145" s="86"/>
      <c r="L145" s="86"/>
      <c r="M145" s="86"/>
      <c r="N145" s="86"/>
    </row>
    <row r="146" spans="1:14" x14ac:dyDescent="0.2">
      <c r="A146" s="112" t="s">
        <v>353</v>
      </c>
      <c r="B146" s="113"/>
      <c r="C146" s="113"/>
      <c r="D146" s="113"/>
      <c r="E146" s="113"/>
      <c r="F146" s="113"/>
      <c r="G146" s="113"/>
      <c r="H146" s="113"/>
      <c r="I146" s="88">
        <v>1583.98</v>
      </c>
      <c r="J146" s="86"/>
      <c r="K146" s="86"/>
      <c r="L146" s="86"/>
      <c r="M146" s="86"/>
      <c r="N146" s="86"/>
    </row>
    <row r="147" spans="1:14" x14ac:dyDescent="0.2">
      <c r="A147" s="112" t="s">
        <v>354</v>
      </c>
      <c r="B147" s="113"/>
      <c r="C147" s="113"/>
      <c r="D147" s="113"/>
      <c r="E147" s="113"/>
      <c r="F147" s="113"/>
      <c r="G147" s="113"/>
      <c r="H147" s="113"/>
      <c r="I147" s="88">
        <v>14993.24</v>
      </c>
      <c r="J147" s="86"/>
      <c r="K147" s="86"/>
      <c r="L147" s="86"/>
      <c r="M147" s="86"/>
      <c r="N147" s="86"/>
    </row>
    <row r="148" spans="1:14" x14ac:dyDescent="0.2">
      <c r="A148" s="112" t="s">
        <v>355</v>
      </c>
      <c r="B148" s="113"/>
      <c r="C148" s="113"/>
      <c r="D148" s="113"/>
      <c r="E148" s="113"/>
      <c r="F148" s="113"/>
      <c r="G148" s="113"/>
      <c r="H148" s="113"/>
      <c r="I148" s="88">
        <v>14693.38</v>
      </c>
      <c r="J148" s="86"/>
      <c r="K148" s="86"/>
      <c r="L148" s="86"/>
      <c r="M148" s="86"/>
      <c r="N148" s="86"/>
    </row>
    <row r="149" spans="1:14" x14ac:dyDescent="0.2">
      <c r="A149" s="112" t="s">
        <v>356</v>
      </c>
      <c r="B149" s="113"/>
      <c r="C149" s="113"/>
      <c r="D149" s="113"/>
      <c r="E149" s="113"/>
      <c r="F149" s="113"/>
      <c r="G149" s="113"/>
      <c r="H149" s="113"/>
      <c r="I149" s="88">
        <v>8396.2099999999991</v>
      </c>
      <c r="J149" s="86"/>
      <c r="K149" s="86"/>
      <c r="L149" s="86"/>
      <c r="M149" s="86"/>
      <c r="N149" s="86"/>
    </row>
    <row r="150" spans="1:14" ht="22.5" x14ac:dyDescent="0.2">
      <c r="A150" s="135" t="s">
        <v>568</v>
      </c>
      <c r="B150" s="136"/>
      <c r="C150" s="136"/>
      <c r="D150" s="136"/>
      <c r="E150" s="136"/>
      <c r="F150" s="136"/>
      <c r="G150" s="136"/>
      <c r="H150" s="136"/>
      <c r="I150" s="93">
        <v>114454.52</v>
      </c>
      <c r="J150" s="91"/>
      <c r="K150" s="91"/>
      <c r="L150" s="91"/>
      <c r="M150" s="91"/>
      <c r="N150" s="91" t="s">
        <v>564</v>
      </c>
    </row>
    <row r="151" spans="1:14" ht="17.850000000000001" customHeight="1" x14ac:dyDescent="0.2">
      <c r="A151" s="110" t="s">
        <v>569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</row>
    <row r="152" spans="1:14" ht="157.5" x14ac:dyDescent="0.2">
      <c r="A152" s="84">
        <v>53</v>
      </c>
      <c r="B152" s="85" t="s">
        <v>496</v>
      </c>
      <c r="C152" s="85" t="s">
        <v>497</v>
      </c>
      <c r="D152" s="84">
        <v>0.27300000000000002</v>
      </c>
      <c r="E152" s="86" t="s">
        <v>498</v>
      </c>
      <c r="F152" s="86" t="s">
        <v>499</v>
      </c>
      <c r="G152" s="86">
        <v>202.72</v>
      </c>
      <c r="H152" s="87" t="s">
        <v>500</v>
      </c>
      <c r="I152" s="88">
        <v>563.15</v>
      </c>
      <c r="J152" s="86">
        <v>292.05</v>
      </c>
      <c r="K152" s="86" t="s">
        <v>570</v>
      </c>
      <c r="L152" s="86" t="str">
        <f>IF(0.273*202.72=0," ",TEXT(,ROUND((0.273*202.72*4.27),2)))</f>
        <v>236.31</v>
      </c>
      <c r="M152" s="86" t="s">
        <v>502</v>
      </c>
      <c r="N152" s="86">
        <v>1.67</v>
      </c>
    </row>
    <row r="153" spans="1:14" ht="202.5" x14ac:dyDescent="0.2">
      <c r="A153" s="84">
        <v>54</v>
      </c>
      <c r="B153" s="85" t="s">
        <v>504</v>
      </c>
      <c r="C153" s="85" t="s">
        <v>571</v>
      </c>
      <c r="D153" s="84">
        <v>0.27300000000000002</v>
      </c>
      <c r="E153" s="86" t="s">
        <v>506</v>
      </c>
      <c r="F153" s="86" t="s">
        <v>507</v>
      </c>
      <c r="G153" s="86">
        <v>401.56</v>
      </c>
      <c r="H153" s="87" t="s">
        <v>508</v>
      </c>
      <c r="I153" s="88">
        <v>836.11</v>
      </c>
      <c r="J153" s="86">
        <v>252.2</v>
      </c>
      <c r="K153" s="86" t="s">
        <v>572</v>
      </c>
      <c r="L153" s="86" t="str">
        <f>IF(0.273*401.56=0," ",TEXT(,ROUND((0.273*401.56*4.58),2)))</f>
        <v>502.09</v>
      </c>
      <c r="M153" s="86" t="s">
        <v>510</v>
      </c>
      <c r="N153" s="86" t="s">
        <v>573</v>
      </c>
    </row>
    <row r="154" spans="1:14" ht="202.5" x14ac:dyDescent="0.2">
      <c r="A154" s="84">
        <v>55</v>
      </c>
      <c r="B154" s="85" t="s">
        <v>512</v>
      </c>
      <c r="C154" s="85" t="s">
        <v>513</v>
      </c>
      <c r="D154" s="84">
        <v>0.27300000000000002</v>
      </c>
      <c r="E154" s="86" t="s">
        <v>514</v>
      </c>
      <c r="F154" s="86" t="s">
        <v>515</v>
      </c>
      <c r="G154" s="86">
        <v>562.55999999999995</v>
      </c>
      <c r="H154" s="87" t="s">
        <v>516</v>
      </c>
      <c r="I154" s="88">
        <v>1134.68</v>
      </c>
      <c r="J154" s="86">
        <v>335.43</v>
      </c>
      <c r="K154" s="86" t="s">
        <v>574</v>
      </c>
      <c r="L154" s="86" t="str">
        <f>IF(0.273*562.56=0," ",TEXT(,ROUND((0.273*562.56*4.94),2)))</f>
        <v>758.68</v>
      </c>
      <c r="M154" s="86" t="s">
        <v>518</v>
      </c>
      <c r="N154" s="86" t="s">
        <v>575</v>
      </c>
    </row>
    <row r="155" spans="1:14" ht="168.75" x14ac:dyDescent="0.2">
      <c r="A155" s="84">
        <v>56</v>
      </c>
      <c r="B155" s="85" t="s">
        <v>520</v>
      </c>
      <c r="C155" s="85" t="s">
        <v>521</v>
      </c>
      <c r="D155" s="84">
        <v>2.9</v>
      </c>
      <c r="E155" s="86" t="s">
        <v>522</v>
      </c>
      <c r="F155" s="86">
        <v>71.44</v>
      </c>
      <c r="G155" s="86">
        <v>1320.96</v>
      </c>
      <c r="H155" s="87" t="s">
        <v>523</v>
      </c>
      <c r="I155" s="88">
        <v>25656.71</v>
      </c>
      <c r="J155" s="86">
        <v>10093.280000000001</v>
      </c>
      <c r="K155" s="86">
        <v>2347.23</v>
      </c>
      <c r="L155" s="86" t="str">
        <f>IF(2.9*1320.96=0," ",TEXT(,ROUND((2.9*1320.96*3.45),2)))</f>
        <v>13216.2</v>
      </c>
      <c r="M155" s="86">
        <v>21.68</v>
      </c>
      <c r="N155" s="86">
        <v>62.87</v>
      </c>
    </row>
    <row r="156" spans="1:14" ht="67.5" x14ac:dyDescent="0.2">
      <c r="A156" s="84">
        <v>57</v>
      </c>
      <c r="B156" s="85" t="s">
        <v>524</v>
      </c>
      <c r="C156" s="85" t="s">
        <v>525</v>
      </c>
      <c r="D156" s="84">
        <v>-4.4660000000000002</v>
      </c>
      <c r="E156" s="86">
        <v>542.4</v>
      </c>
      <c r="F156" s="86"/>
      <c r="G156" s="86">
        <v>542.4</v>
      </c>
      <c r="H156" s="87" t="s">
        <v>526</v>
      </c>
      <c r="I156" s="88">
        <v>-8291.75</v>
      </c>
      <c r="J156" s="86"/>
      <c r="K156" s="86"/>
      <c r="L156" s="86" t="str">
        <f>IF(-4.466*542.4=0," ",TEXT(,ROUND((-4.466*542.4*3.423),2)))</f>
        <v>-8291.73</v>
      </c>
      <c r="M156" s="86"/>
      <c r="N156" s="86"/>
    </row>
    <row r="157" spans="1:14" ht="45" x14ac:dyDescent="0.2">
      <c r="A157" s="89">
        <v>58</v>
      </c>
      <c r="B157" s="90" t="s">
        <v>527</v>
      </c>
      <c r="C157" s="90" t="s">
        <v>528</v>
      </c>
      <c r="D157" s="89">
        <v>4.4660000000000002</v>
      </c>
      <c r="E157" s="91">
        <v>633.61</v>
      </c>
      <c r="F157" s="91"/>
      <c r="G157" s="91">
        <v>633.61</v>
      </c>
      <c r="H157" s="92" t="s">
        <v>435</v>
      </c>
      <c r="I157" s="93">
        <v>15789.72</v>
      </c>
      <c r="J157" s="91"/>
      <c r="K157" s="91"/>
      <c r="L157" s="91" t="str">
        <f>IF(4.466*633.61=0," ",TEXT(,ROUND((4.466*633.61*5.58),2)))</f>
        <v>15789.74</v>
      </c>
      <c r="M157" s="91"/>
      <c r="N157" s="91"/>
    </row>
    <row r="158" spans="1:14" ht="22.5" x14ac:dyDescent="0.2">
      <c r="A158" s="112" t="s">
        <v>338</v>
      </c>
      <c r="B158" s="113"/>
      <c r="C158" s="113"/>
      <c r="D158" s="113"/>
      <c r="E158" s="113"/>
      <c r="F158" s="113"/>
      <c r="G158" s="113"/>
      <c r="H158" s="113"/>
      <c r="I158" s="88">
        <v>35688.620000000003</v>
      </c>
      <c r="J158" s="86">
        <v>10972.96</v>
      </c>
      <c r="K158" s="86" t="s">
        <v>576</v>
      </c>
      <c r="L158" s="86">
        <v>22211.23</v>
      </c>
      <c r="M158" s="86"/>
      <c r="N158" s="86" t="s">
        <v>577</v>
      </c>
    </row>
    <row r="159" spans="1:14" x14ac:dyDescent="0.2">
      <c r="A159" s="112" t="s">
        <v>341</v>
      </c>
      <c r="B159" s="113"/>
      <c r="C159" s="113"/>
      <c r="D159" s="113"/>
      <c r="E159" s="113"/>
      <c r="F159" s="113"/>
      <c r="G159" s="113"/>
      <c r="H159" s="113"/>
      <c r="I159" s="88">
        <v>8380.59</v>
      </c>
      <c r="J159" s="86"/>
      <c r="K159" s="86"/>
      <c r="L159" s="86"/>
      <c r="M159" s="86"/>
      <c r="N159" s="86"/>
    </row>
    <row r="160" spans="1:14" x14ac:dyDescent="0.2">
      <c r="A160" s="112" t="s">
        <v>342</v>
      </c>
      <c r="B160" s="113"/>
      <c r="C160" s="113"/>
      <c r="D160" s="113"/>
      <c r="E160" s="113"/>
      <c r="F160" s="113"/>
      <c r="G160" s="113"/>
      <c r="H160" s="113"/>
      <c r="I160" s="88"/>
      <c r="J160" s="86"/>
      <c r="K160" s="86"/>
      <c r="L160" s="86"/>
      <c r="M160" s="86"/>
      <c r="N160" s="86"/>
    </row>
    <row r="161" spans="1:14" x14ac:dyDescent="0.2">
      <c r="A161" s="112" t="s">
        <v>578</v>
      </c>
      <c r="B161" s="113"/>
      <c r="C161" s="113"/>
      <c r="D161" s="113"/>
      <c r="E161" s="113"/>
      <c r="F161" s="113"/>
      <c r="G161" s="113"/>
      <c r="H161" s="113"/>
      <c r="I161" s="88">
        <v>608.76</v>
      </c>
      <c r="J161" s="86"/>
      <c r="K161" s="86"/>
      <c r="L161" s="86"/>
      <c r="M161" s="86"/>
      <c r="N161" s="86"/>
    </row>
    <row r="162" spans="1:14" x14ac:dyDescent="0.2">
      <c r="A162" s="112" t="s">
        <v>579</v>
      </c>
      <c r="B162" s="113"/>
      <c r="C162" s="113"/>
      <c r="D162" s="113"/>
      <c r="E162" s="113"/>
      <c r="F162" s="113"/>
      <c r="G162" s="113"/>
      <c r="H162" s="113"/>
      <c r="I162" s="88">
        <v>7771.83</v>
      </c>
      <c r="J162" s="86"/>
      <c r="K162" s="86"/>
      <c r="L162" s="86"/>
      <c r="M162" s="86"/>
      <c r="N162" s="86"/>
    </row>
    <row r="163" spans="1:14" x14ac:dyDescent="0.2">
      <c r="A163" s="112" t="s">
        <v>344</v>
      </c>
      <c r="B163" s="113"/>
      <c r="C163" s="113"/>
      <c r="D163" s="113"/>
      <c r="E163" s="113"/>
      <c r="F163" s="113"/>
      <c r="G163" s="113"/>
      <c r="H163" s="113"/>
      <c r="I163" s="88">
        <v>5268.25</v>
      </c>
      <c r="J163" s="86"/>
      <c r="K163" s="86"/>
      <c r="L163" s="86"/>
      <c r="M163" s="86"/>
      <c r="N163" s="86"/>
    </row>
    <row r="164" spans="1:14" x14ac:dyDescent="0.2">
      <c r="A164" s="112" t="s">
        <v>342</v>
      </c>
      <c r="B164" s="113"/>
      <c r="C164" s="113"/>
      <c r="D164" s="113"/>
      <c r="E164" s="113"/>
      <c r="F164" s="113"/>
      <c r="G164" s="113"/>
      <c r="H164" s="113"/>
      <c r="I164" s="88"/>
      <c r="J164" s="86"/>
      <c r="K164" s="86"/>
      <c r="L164" s="86"/>
      <c r="M164" s="86"/>
      <c r="N164" s="86"/>
    </row>
    <row r="165" spans="1:14" x14ac:dyDescent="0.2">
      <c r="A165" s="112" t="s">
        <v>580</v>
      </c>
      <c r="B165" s="113"/>
      <c r="C165" s="113"/>
      <c r="D165" s="113"/>
      <c r="E165" s="113"/>
      <c r="F165" s="113"/>
      <c r="G165" s="113"/>
      <c r="H165" s="113"/>
      <c r="I165" s="88">
        <v>5268.25</v>
      </c>
      <c r="J165" s="86"/>
      <c r="K165" s="86"/>
      <c r="L165" s="86"/>
      <c r="M165" s="86"/>
      <c r="N165" s="86"/>
    </row>
    <row r="166" spans="1:14" x14ac:dyDescent="0.2">
      <c r="A166" s="134" t="s">
        <v>581</v>
      </c>
      <c r="B166" s="111"/>
      <c r="C166" s="111"/>
      <c r="D166" s="111"/>
      <c r="E166" s="111"/>
      <c r="F166" s="111"/>
      <c r="G166" s="111"/>
      <c r="H166" s="111"/>
      <c r="I166" s="88"/>
      <c r="J166" s="86"/>
      <c r="K166" s="86"/>
      <c r="L166" s="86"/>
      <c r="M166" s="86"/>
      <c r="N166" s="86"/>
    </row>
    <row r="167" spans="1:14" ht="22.5" x14ac:dyDescent="0.2">
      <c r="A167" s="112" t="s">
        <v>535</v>
      </c>
      <c r="B167" s="113"/>
      <c r="C167" s="113"/>
      <c r="D167" s="113"/>
      <c r="E167" s="113"/>
      <c r="F167" s="113"/>
      <c r="G167" s="113"/>
      <c r="H167" s="113"/>
      <c r="I167" s="88">
        <v>3566.18</v>
      </c>
      <c r="J167" s="86"/>
      <c r="K167" s="86"/>
      <c r="L167" s="86"/>
      <c r="M167" s="86"/>
      <c r="N167" s="86" t="s">
        <v>582</v>
      </c>
    </row>
    <row r="168" spans="1:14" x14ac:dyDescent="0.2">
      <c r="A168" s="112" t="s">
        <v>537</v>
      </c>
      <c r="B168" s="113"/>
      <c r="C168" s="113"/>
      <c r="D168" s="113"/>
      <c r="E168" s="113"/>
      <c r="F168" s="113"/>
      <c r="G168" s="113"/>
      <c r="H168" s="113"/>
      <c r="I168" s="88">
        <v>38273.31</v>
      </c>
      <c r="J168" s="86"/>
      <c r="K168" s="86"/>
      <c r="L168" s="86"/>
      <c r="M168" s="86"/>
      <c r="N168" s="86">
        <v>62.87</v>
      </c>
    </row>
    <row r="169" spans="1:14" x14ac:dyDescent="0.2">
      <c r="A169" s="112" t="s">
        <v>493</v>
      </c>
      <c r="B169" s="113"/>
      <c r="C169" s="113"/>
      <c r="D169" s="113"/>
      <c r="E169" s="113"/>
      <c r="F169" s="113"/>
      <c r="G169" s="113"/>
      <c r="H169" s="113"/>
      <c r="I169" s="88">
        <v>7497.97</v>
      </c>
      <c r="J169" s="86"/>
      <c r="K169" s="86"/>
      <c r="L169" s="86"/>
      <c r="M169" s="86"/>
      <c r="N169" s="86"/>
    </row>
    <row r="170" spans="1:14" ht="22.5" x14ac:dyDescent="0.2">
      <c r="A170" s="112" t="s">
        <v>350</v>
      </c>
      <c r="B170" s="113"/>
      <c r="C170" s="113"/>
      <c r="D170" s="113"/>
      <c r="E170" s="113"/>
      <c r="F170" s="113"/>
      <c r="G170" s="113"/>
      <c r="H170" s="113"/>
      <c r="I170" s="88">
        <v>49337.46</v>
      </c>
      <c r="J170" s="86"/>
      <c r="K170" s="86"/>
      <c r="L170" s="86"/>
      <c r="M170" s="86"/>
      <c r="N170" s="86" t="s">
        <v>577</v>
      </c>
    </row>
    <row r="171" spans="1:14" x14ac:dyDescent="0.2">
      <c r="A171" s="112" t="s">
        <v>351</v>
      </c>
      <c r="B171" s="113"/>
      <c r="C171" s="113"/>
      <c r="D171" s="113"/>
      <c r="E171" s="113"/>
      <c r="F171" s="113"/>
      <c r="G171" s="113"/>
      <c r="H171" s="113"/>
      <c r="I171" s="88"/>
      <c r="J171" s="86"/>
      <c r="K171" s="86"/>
      <c r="L171" s="86"/>
      <c r="M171" s="86"/>
      <c r="N171" s="86"/>
    </row>
    <row r="172" spans="1:14" x14ac:dyDescent="0.2">
      <c r="A172" s="112" t="s">
        <v>352</v>
      </c>
      <c r="B172" s="113"/>
      <c r="C172" s="113"/>
      <c r="D172" s="113"/>
      <c r="E172" s="113"/>
      <c r="F172" s="113"/>
      <c r="G172" s="113"/>
      <c r="H172" s="113"/>
      <c r="I172" s="88">
        <v>22211.23</v>
      </c>
      <c r="J172" s="86"/>
      <c r="K172" s="86"/>
      <c r="L172" s="86"/>
      <c r="M172" s="86"/>
      <c r="N172" s="86"/>
    </row>
    <row r="173" spans="1:14" x14ac:dyDescent="0.2">
      <c r="A173" s="112" t="s">
        <v>353</v>
      </c>
      <c r="B173" s="113"/>
      <c r="C173" s="113"/>
      <c r="D173" s="113"/>
      <c r="E173" s="113"/>
      <c r="F173" s="113"/>
      <c r="G173" s="113"/>
      <c r="H173" s="113"/>
      <c r="I173" s="88">
        <v>2504.4299999999998</v>
      </c>
      <c r="J173" s="86"/>
      <c r="K173" s="86"/>
      <c r="L173" s="86"/>
      <c r="M173" s="86"/>
      <c r="N173" s="86"/>
    </row>
    <row r="174" spans="1:14" x14ac:dyDescent="0.2">
      <c r="A174" s="112" t="s">
        <v>354</v>
      </c>
      <c r="B174" s="113"/>
      <c r="C174" s="113"/>
      <c r="D174" s="113"/>
      <c r="E174" s="113"/>
      <c r="F174" s="113"/>
      <c r="G174" s="113"/>
      <c r="H174" s="113"/>
      <c r="I174" s="88">
        <v>10975.54</v>
      </c>
      <c r="J174" s="86"/>
      <c r="K174" s="86"/>
      <c r="L174" s="86"/>
      <c r="M174" s="86"/>
      <c r="N174" s="86"/>
    </row>
    <row r="175" spans="1:14" x14ac:dyDescent="0.2">
      <c r="A175" s="112" t="s">
        <v>355</v>
      </c>
      <c r="B175" s="113"/>
      <c r="C175" s="113"/>
      <c r="D175" s="113"/>
      <c r="E175" s="113"/>
      <c r="F175" s="113"/>
      <c r="G175" s="113"/>
      <c r="H175" s="113"/>
      <c r="I175" s="88">
        <v>8380.59</v>
      </c>
      <c r="J175" s="86"/>
      <c r="K175" s="86"/>
      <c r="L175" s="86"/>
      <c r="M175" s="86"/>
      <c r="N175" s="86"/>
    </row>
    <row r="176" spans="1:14" x14ac:dyDescent="0.2">
      <c r="A176" s="112" t="s">
        <v>356</v>
      </c>
      <c r="B176" s="113"/>
      <c r="C176" s="113"/>
      <c r="D176" s="113"/>
      <c r="E176" s="113"/>
      <c r="F176" s="113"/>
      <c r="G176" s="113"/>
      <c r="H176" s="113"/>
      <c r="I176" s="88">
        <v>5268.25</v>
      </c>
      <c r="J176" s="86"/>
      <c r="K176" s="86"/>
      <c r="L176" s="86"/>
      <c r="M176" s="86"/>
      <c r="N176" s="86"/>
    </row>
    <row r="177" spans="1:14" ht="22.5" x14ac:dyDescent="0.2">
      <c r="A177" s="135" t="s">
        <v>583</v>
      </c>
      <c r="B177" s="136"/>
      <c r="C177" s="136"/>
      <c r="D177" s="136"/>
      <c r="E177" s="136"/>
      <c r="F177" s="136"/>
      <c r="G177" s="136"/>
      <c r="H177" s="136"/>
      <c r="I177" s="93">
        <v>49337.46</v>
      </c>
      <c r="J177" s="91"/>
      <c r="K177" s="91"/>
      <c r="L177" s="91"/>
      <c r="M177" s="91"/>
      <c r="N177" s="91" t="s">
        <v>577</v>
      </c>
    </row>
    <row r="178" spans="1:14" ht="17.850000000000001" customHeight="1" x14ac:dyDescent="0.2">
      <c r="A178" s="110" t="s">
        <v>584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</row>
    <row r="179" spans="1:14" ht="123.75" x14ac:dyDescent="0.2">
      <c r="A179" s="84">
        <v>59</v>
      </c>
      <c r="B179" s="85" t="s">
        <v>585</v>
      </c>
      <c r="C179" s="85" t="s">
        <v>586</v>
      </c>
      <c r="D179" s="84">
        <v>1.86</v>
      </c>
      <c r="E179" s="86" t="s">
        <v>587</v>
      </c>
      <c r="F179" s="86" t="s">
        <v>588</v>
      </c>
      <c r="G179" s="86">
        <v>1405.19</v>
      </c>
      <c r="H179" s="87" t="s">
        <v>589</v>
      </c>
      <c r="I179" s="88">
        <v>20979.83</v>
      </c>
      <c r="J179" s="86">
        <v>5356.93</v>
      </c>
      <c r="K179" s="86" t="s">
        <v>590</v>
      </c>
      <c r="L179" s="86" t="str">
        <f>IF(1.86*1405.19=0," ",TEXT(,ROUND((1.86*1405.19*1.61),2)))</f>
        <v>4207.98</v>
      </c>
      <c r="M179" s="86" t="s">
        <v>591</v>
      </c>
      <c r="N179" s="86" t="s">
        <v>592</v>
      </c>
    </row>
    <row r="180" spans="1:14" ht="135" x14ac:dyDescent="0.2">
      <c r="A180" s="84">
        <v>60</v>
      </c>
      <c r="B180" s="85" t="s">
        <v>593</v>
      </c>
      <c r="C180" s="85" t="s">
        <v>594</v>
      </c>
      <c r="D180" s="84">
        <v>1.86</v>
      </c>
      <c r="E180" s="86" t="s">
        <v>595</v>
      </c>
      <c r="F180" s="86" t="s">
        <v>596</v>
      </c>
      <c r="G180" s="86">
        <v>140.52000000000001</v>
      </c>
      <c r="H180" s="87" t="s">
        <v>589</v>
      </c>
      <c r="I180" s="88">
        <v>1535.49</v>
      </c>
      <c r="J180" s="86">
        <v>211.72</v>
      </c>
      <c r="K180" s="86" t="s">
        <v>597</v>
      </c>
      <c r="L180" s="86" t="str">
        <f>IF(1.86*140.52=0," ",TEXT(,ROUND((1.86*140.52*1.61),2)))</f>
        <v>420.8</v>
      </c>
      <c r="M180" s="86" t="s">
        <v>598</v>
      </c>
      <c r="N180" s="86" t="s">
        <v>599</v>
      </c>
    </row>
    <row r="181" spans="1:14" ht="123.75" x14ac:dyDescent="0.2">
      <c r="A181" s="84">
        <v>61</v>
      </c>
      <c r="B181" s="85" t="s">
        <v>600</v>
      </c>
      <c r="C181" s="85" t="s">
        <v>601</v>
      </c>
      <c r="D181" s="84">
        <v>0.06</v>
      </c>
      <c r="E181" s="86" t="s">
        <v>602</v>
      </c>
      <c r="F181" s="86" t="s">
        <v>603</v>
      </c>
      <c r="G181" s="86">
        <v>5328.36</v>
      </c>
      <c r="H181" s="87" t="s">
        <v>589</v>
      </c>
      <c r="I181" s="88">
        <v>1260.6300000000001</v>
      </c>
      <c r="J181" s="86">
        <v>250.67</v>
      </c>
      <c r="K181" s="86" t="s">
        <v>604</v>
      </c>
      <c r="L181" s="86" t="str">
        <f>IF(0.06*5328.36=0," ",TEXT(,ROUND((0.06*5328.36*1.61),2)))</f>
        <v>514.72</v>
      </c>
      <c r="M181" s="86" t="s">
        <v>605</v>
      </c>
      <c r="N181" s="86" t="s">
        <v>606</v>
      </c>
    </row>
    <row r="182" spans="1:14" ht="135" x14ac:dyDescent="0.2">
      <c r="A182" s="84">
        <v>62</v>
      </c>
      <c r="B182" s="85" t="s">
        <v>607</v>
      </c>
      <c r="C182" s="85" t="s">
        <v>608</v>
      </c>
      <c r="D182" s="84">
        <v>0.06</v>
      </c>
      <c r="E182" s="86" t="s">
        <v>609</v>
      </c>
      <c r="F182" s="86" t="s">
        <v>610</v>
      </c>
      <c r="G182" s="86">
        <v>532.84</v>
      </c>
      <c r="H182" s="87" t="s">
        <v>589</v>
      </c>
      <c r="I182" s="88">
        <v>133.35</v>
      </c>
      <c r="J182" s="86">
        <v>39.869999999999997</v>
      </c>
      <c r="K182" s="86" t="s">
        <v>611</v>
      </c>
      <c r="L182" s="86" t="str">
        <f>IF(0.06*532.84=0," ",TEXT(,ROUND((0.06*532.84*1.61),2)))</f>
        <v>51.47</v>
      </c>
      <c r="M182" s="86" t="s">
        <v>612</v>
      </c>
      <c r="N182" s="86" t="s">
        <v>613</v>
      </c>
    </row>
    <row r="183" spans="1:14" ht="123.75" x14ac:dyDescent="0.2">
      <c r="A183" s="84">
        <v>63</v>
      </c>
      <c r="B183" s="85" t="s">
        <v>614</v>
      </c>
      <c r="C183" s="85" t="s">
        <v>615</v>
      </c>
      <c r="D183" s="84">
        <v>0.8</v>
      </c>
      <c r="E183" s="86" t="s">
        <v>616</v>
      </c>
      <c r="F183" s="86" t="s">
        <v>617</v>
      </c>
      <c r="G183" s="86">
        <v>1405.77</v>
      </c>
      <c r="H183" s="87" t="s">
        <v>589</v>
      </c>
      <c r="I183" s="88">
        <v>10754.02</v>
      </c>
      <c r="J183" s="86">
        <v>2949.82</v>
      </c>
      <c r="K183" s="86" t="s">
        <v>618</v>
      </c>
      <c r="L183" s="86" t="str">
        <f>IF(0.8*1405.77=0," ",TEXT(,ROUND((0.8*1405.77*1.61),2)))</f>
        <v>1810.63</v>
      </c>
      <c r="M183" s="86" t="s">
        <v>619</v>
      </c>
      <c r="N183" s="86" t="s">
        <v>620</v>
      </c>
    </row>
    <row r="184" spans="1:14" ht="135" x14ac:dyDescent="0.2">
      <c r="A184" s="84">
        <v>64</v>
      </c>
      <c r="B184" s="85" t="s">
        <v>621</v>
      </c>
      <c r="C184" s="85" t="s">
        <v>622</v>
      </c>
      <c r="D184" s="84">
        <v>-0.8</v>
      </c>
      <c r="E184" s="86" t="s">
        <v>623</v>
      </c>
      <c r="F184" s="86" t="s">
        <v>624</v>
      </c>
      <c r="G184" s="86">
        <v>562.32000000000005</v>
      </c>
      <c r="H184" s="87" t="s">
        <v>589</v>
      </c>
      <c r="I184" s="88">
        <v>-3178.13</v>
      </c>
      <c r="J184" s="86">
        <v>-466.39</v>
      </c>
      <c r="K184" s="86" t="s">
        <v>625</v>
      </c>
      <c r="L184" s="86" t="str">
        <f>IF(-0.8*562.32=0," ",TEXT(,ROUND((-0.8*562.32*1.61),2)))</f>
        <v>-724.27</v>
      </c>
      <c r="M184" s="86" t="s">
        <v>626</v>
      </c>
      <c r="N184" s="86" t="s">
        <v>627</v>
      </c>
    </row>
    <row r="185" spans="1:14" ht="78.75" x14ac:dyDescent="0.2">
      <c r="A185" s="84">
        <v>65</v>
      </c>
      <c r="B185" s="85" t="s">
        <v>628</v>
      </c>
      <c r="C185" s="85" t="s">
        <v>629</v>
      </c>
      <c r="D185" s="84">
        <v>0.08</v>
      </c>
      <c r="E185" s="86" t="s">
        <v>630</v>
      </c>
      <c r="F185" s="86" t="s">
        <v>631</v>
      </c>
      <c r="G185" s="86"/>
      <c r="H185" s="87" t="s">
        <v>632</v>
      </c>
      <c r="I185" s="88">
        <v>2282.36</v>
      </c>
      <c r="J185" s="86">
        <v>1173.4100000000001</v>
      </c>
      <c r="K185" s="86" t="s">
        <v>633</v>
      </c>
      <c r="L185" s="86" t="str">
        <f>IF(0.08*0=0," ",TEXT(,ROUND((0.08*0*1),2)))</f>
        <v xml:space="preserve"> </v>
      </c>
      <c r="M185" s="86" t="s">
        <v>634</v>
      </c>
      <c r="N185" s="86" t="s">
        <v>635</v>
      </c>
    </row>
    <row r="186" spans="1:14" ht="78.75" x14ac:dyDescent="0.2">
      <c r="A186" s="84">
        <v>66</v>
      </c>
      <c r="B186" s="85" t="s">
        <v>636</v>
      </c>
      <c r="C186" s="85" t="s">
        <v>637</v>
      </c>
      <c r="D186" s="84">
        <v>3.1399999999999997E-2</v>
      </c>
      <c r="E186" s="86" t="s">
        <v>638</v>
      </c>
      <c r="F186" s="86">
        <v>21.67</v>
      </c>
      <c r="G186" s="86">
        <v>1275.22</v>
      </c>
      <c r="H186" s="87" t="s">
        <v>639</v>
      </c>
      <c r="I186" s="88">
        <v>442.72</v>
      </c>
      <c r="J186" s="86">
        <v>230.5</v>
      </c>
      <c r="K186" s="86">
        <v>7.61</v>
      </c>
      <c r="L186" s="86" t="str">
        <f>IF(0.0314*1275.22=0," ",TEXT(,ROUND((0.0314*1275.22*5.11),2)))</f>
        <v>204.61</v>
      </c>
      <c r="M186" s="86">
        <v>55.16</v>
      </c>
      <c r="N186" s="86">
        <v>1.73</v>
      </c>
    </row>
    <row r="187" spans="1:14" ht="90" x14ac:dyDescent="0.2">
      <c r="A187" s="84">
        <v>67</v>
      </c>
      <c r="B187" s="85" t="s">
        <v>640</v>
      </c>
      <c r="C187" s="85" t="s">
        <v>641</v>
      </c>
      <c r="D187" s="84">
        <v>0.42</v>
      </c>
      <c r="E187" s="86" t="s">
        <v>642</v>
      </c>
      <c r="F187" s="86" t="s">
        <v>643</v>
      </c>
      <c r="G187" s="86">
        <v>2267.17</v>
      </c>
      <c r="H187" s="87" t="s">
        <v>644</v>
      </c>
      <c r="I187" s="88">
        <v>8166.14</v>
      </c>
      <c r="J187" s="86">
        <v>1504.78</v>
      </c>
      <c r="K187" s="86" t="s">
        <v>645</v>
      </c>
      <c r="L187" s="86" t="str">
        <f>IF(0.42*2267.17=0," ",TEXT(,ROUND((0.42*2267.17*6.89),2)))</f>
        <v>6560.74</v>
      </c>
      <c r="M187" s="86" t="s">
        <v>646</v>
      </c>
      <c r="N187" s="86" t="s">
        <v>647</v>
      </c>
    </row>
    <row r="188" spans="1:14" ht="78.75" x14ac:dyDescent="0.2">
      <c r="A188" s="84">
        <v>68</v>
      </c>
      <c r="B188" s="85" t="s">
        <v>648</v>
      </c>
      <c r="C188" s="85" t="s">
        <v>649</v>
      </c>
      <c r="D188" s="84">
        <v>18.899999999999999</v>
      </c>
      <c r="E188" s="86">
        <v>42.98</v>
      </c>
      <c r="F188" s="86">
        <v>42.98</v>
      </c>
      <c r="G188" s="86"/>
      <c r="H188" s="87" t="s">
        <v>650</v>
      </c>
      <c r="I188" s="88">
        <v>812.32</v>
      </c>
      <c r="J188" s="86"/>
      <c r="K188" s="86">
        <v>812.32</v>
      </c>
      <c r="L188" s="86" t="str">
        <f>IF(18.9*0=0," ",TEXT(,ROUND((18.9*0*1),2)))</f>
        <v xml:space="preserve"> </v>
      </c>
      <c r="M188" s="86"/>
      <c r="N188" s="86"/>
    </row>
    <row r="189" spans="1:14" ht="101.25" x14ac:dyDescent="0.2">
      <c r="A189" s="89">
        <v>69</v>
      </c>
      <c r="B189" s="90" t="s">
        <v>651</v>
      </c>
      <c r="C189" s="90" t="s">
        <v>652</v>
      </c>
      <c r="D189" s="89">
        <v>18.899999999999999</v>
      </c>
      <c r="E189" s="91">
        <v>11.42</v>
      </c>
      <c r="F189" s="91">
        <v>11.42</v>
      </c>
      <c r="G189" s="91"/>
      <c r="H189" s="92" t="s">
        <v>653</v>
      </c>
      <c r="I189" s="93">
        <v>2065.58</v>
      </c>
      <c r="J189" s="91"/>
      <c r="K189" s="91">
        <v>2065.58</v>
      </c>
      <c r="L189" s="91" t="str">
        <f>IF(18.9*0=0," ",TEXT(,ROUND((18.9*0*1),2)))</f>
        <v xml:space="preserve"> </v>
      </c>
      <c r="M189" s="91"/>
      <c r="N189" s="91"/>
    </row>
    <row r="190" spans="1:14" ht="22.5" x14ac:dyDescent="0.2">
      <c r="A190" s="112" t="s">
        <v>338</v>
      </c>
      <c r="B190" s="113"/>
      <c r="C190" s="113"/>
      <c r="D190" s="113"/>
      <c r="E190" s="113"/>
      <c r="F190" s="113"/>
      <c r="G190" s="113"/>
      <c r="H190" s="113"/>
      <c r="I190" s="88">
        <v>45254.31</v>
      </c>
      <c r="J190" s="86">
        <v>11251.31</v>
      </c>
      <c r="K190" s="86" t="s">
        <v>654</v>
      </c>
      <c r="L190" s="86">
        <v>13046.66</v>
      </c>
      <c r="M190" s="86"/>
      <c r="N190" s="86" t="s">
        <v>655</v>
      </c>
    </row>
    <row r="191" spans="1:14" x14ac:dyDescent="0.2">
      <c r="A191" s="112" t="s">
        <v>341</v>
      </c>
      <c r="B191" s="113"/>
      <c r="C191" s="113"/>
      <c r="D191" s="113"/>
      <c r="E191" s="113"/>
      <c r="F191" s="113"/>
      <c r="G191" s="113"/>
      <c r="H191" s="113"/>
      <c r="I191" s="88">
        <v>17087.16</v>
      </c>
      <c r="J191" s="86"/>
      <c r="K191" s="86"/>
      <c r="L191" s="86"/>
      <c r="M191" s="86"/>
      <c r="N191" s="86"/>
    </row>
    <row r="192" spans="1:14" x14ac:dyDescent="0.2">
      <c r="A192" s="112" t="s">
        <v>342</v>
      </c>
      <c r="B192" s="113"/>
      <c r="C192" s="113"/>
      <c r="D192" s="113"/>
      <c r="E192" s="113"/>
      <c r="F192" s="113"/>
      <c r="G192" s="113"/>
      <c r="H192" s="113"/>
      <c r="I192" s="88"/>
      <c r="J192" s="86"/>
      <c r="K192" s="86"/>
      <c r="L192" s="86"/>
      <c r="M192" s="86"/>
      <c r="N192" s="86"/>
    </row>
    <row r="193" spans="1:14" x14ac:dyDescent="0.2">
      <c r="A193" s="112" t="s">
        <v>656</v>
      </c>
      <c r="B193" s="113"/>
      <c r="C193" s="113"/>
      <c r="D193" s="113"/>
      <c r="E193" s="113"/>
      <c r="F193" s="113"/>
      <c r="G193" s="113"/>
      <c r="H193" s="113"/>
      <c r="I193" s="88">
        <v>989.02</v>
      </c>
      <c r="J193" s="86"/>
      <c r="K193" s="86"/>
      <c r="L193" s="86"/>
      <c r="M193" s="86"/>
      <c r="N193" s="86"/>
    </row>
    <row r="194" spans="1:14" x14ac:dyDescent="0.2">
      <c r="A194" s="112" t="s">
        <v>657</v>
      </c>
      <c r="B194" s="113"/>
      <c r="C194" s="113"/>
      <c r="D194" s="113"/>
      <c r="E194" s="113"/>
      <c r="F194" s="113"/>
      <c r="G194" s="113"/>
      <c r="H194" s="113"/>
      <c r="I194" s="88">
        <v>16098.14</v>
      </c>
      <c r="J194" s="86"/>
      <c r="K194" s="86"/>
      <c r="L194" s="86"/>
      <c r="M194" s="86"/>
      <c r="N194" s="86"/>
    </row>
    <row r="195" spans="1:14" x14ac:dyDescent="0.2">
      <c r="A195" s="112" t="s">
        <v>344</v>
      </c>
      <c r="B195" s="113"/>
      <c r="C195" s="113"/>
      <c r="D195" s="113"/>
      <c r="E195" s="113"/>
      <c r="F195" s="113"/>
      <c r="G195" s="113"/>
      <c r="H195" s="113"/>
      <c r="I195" s="88">
        <v>9807.57</v>
      </c>
      <c r="J195" s="86"/>
      <c r="K195" s="86"/>
      <c r="L195" s="86"/>
      <c r="M195" s="86"/>
      <c r="N195" s="86"/>
    </row>
    <row r="196" spans="1:14" x14ac:dyDescent="0.2">
      <c r="A196" s="112" t="s">
        <v>342</v>
      </c>
      <c r="B196" s="113"/>
      <c r="C196" s="113"/>
      <c r="D196" s="113"/>
      <c r="E196" s="113"/>
      <c r="F196" s="113"/>
      <c r="G196" s="113"/>
      <c r="H196" s="113"/>
      <c r="I196" s="88"/>
      <c r="J196" s="86"/>
      <c r="K196" s="86"/>
      <c r="L196" s="86"/>
      <c r="M196" s="86"/>
      <c r="N196" s="86"/>
    </row>
    <row r="197" spans="1:14" x14ac:dyDescent="0.2">
      <c r="A197" s="112" t="s">
        <v>658</v>
      </c>
      <c r="B197" s="113"/>
      <c r="C197" s="113"/>
      <c r="D197" s="113"/>
      <c r="E197" s="113"/>
      <c r="F197" s="113"/>
      <c r="G197" s="113"/>
      <c r="H197" s="113"/>
      <c r="I197" s="88">
        <v>608.63</v>
      </c>
      <c r="J197" s="86"/>
      <c r="K197" s="86"/>
      <c r="L197" s="86"/>
      <c r="M197" s="86"/>
      <c r="N197" s="86"/>
    </row>
    <row r="198" spans="1:14" x14ac:dyDescent="0.2">
      <c r="A198" s="112" t="s">
        <v>659</v>
      </c>
      <c r="B198" s="113"/>
      <c r="C198" s="113"/>
      <c r="D198" s="113"/>
      <c r="E198" s="113"/>
      <c r="F198" s="113"/>
      <c r="G198" s="113"/>
      <c r="H198" s="113"/>
      <c r="I198" s="88">
        <v>9198.94</v>
      </c>
      <c r="J198" s="86"/>
      <c r="K198" s="86"/>
      <c r="L198" s="86"/>
      <c r="M198" s="86"/>
      <c r="N198" s="86"/>
    </row>
    <row r="199" spans="1:14" x14ac:dyDescent="0.2">
      <c r="A199" s="134" t="s">
        <v>660</v>
      </c>
      <c r="B199" s="111"/>
      <c r="C199" s="111"/>
      <c r="D199" s="111"/>
      <c r="E199" s="111"/>
      <c r="F199" s="111"/>
      <c r="G199" s="111"/>
      <c r="H199" s="111"/>
      <c r="I199" s="88"/>
      <c r="J199" s="86"/>
      <c r="K199" s="86"/>
      <c r="L199" s="86"/>
      <c r="M199" s="86"/>
      <c r="N199" s="86"/>
    </row>
    <row r="200" spans="1:14" ht="22.5" x14ac:dyDescent="0.2">
      <c r="A200" s="112" t="s">
        <v>661</v>
      </c>
      <c r="B200" s="113"/>
      <c r="C200" s="113"/>
      <c r="D200" s="113"/>
      <c r="E200" s="113"/>
      <c r="F200" s="113"/>
      <c r="G200" s="113"/>
      <c r="H200" s="113"/>
      <c r="I200" s="88">
        <v>59507.35</v>
      </c>
      <c r="J200" s="86"/>
      <c r="K200" s="86"/>
      <c r="L200" s="86"/>
      <c r="M200" s="86"/>
      <c r="N200" s="86" t="s">
        <v>662</v>
      </c>
    </row>
    <row r="201" spans="1:14" ht="22.5" x14ac:dyDescent="0.2">
      <c r="A201" s="112" t="s">
        <v>663</v>
      </c>
      <c r="B201" s="113"/>
      <c r="C201" s="113"/>
      <c r="D201" s="113"/>
      <c r="E201" s="113"/>
      <c r="F201" s="113"/>
      <c r="G201" s="113"/>
      <c r="H201" s="113"/>
      <c r="I201" s="88">
        <v>9763.7900000000009</v>
      </c>
      <c r="J201" s="86"/>
      <c r="K201" s="86"/>
      <c r="L201" s="86"/>
      <c r="M201" s="86"/>
      <c r="N201" s="86" t="s">
        <v>647</v>
      </c>
    </row>
    <row r="202" spans="1:14" x14ac:dyDescent="0.2">
      <c r="A202" s="112" t="s">
        <v>664</v>
      </c>
      <c r="B202" s="113"/>
      <c r="C202" s="113"/>
      <c r="D202" s="113"/>
      <c r="E202" s="113"/>
      <c r="F202" s="113"/>
      <c r="G202" s="113"/>
      <c r="H202" s="113"/>
      <c r="I202" s="88">
        <v>812.32</v>
      </c>
      <c r="J202" s="86"/>
      <c r="K202" s="86"/>
      <c r="L202" s="86"/>
      <c r="M202" s="86"/>
      <c r="N202" s="86"/>
    </row>
    <row r="203" spans="1:14" x14ac:dyDescent="0.2">
      <c r="A203" s="112" t="s">
        <v>665</v>
      </c>
      <c r="B203" s="113"/>
      <c r="C203" s="113"/>
      <c r="D203" s="113"/>
      <c r="E203" s="113"/>
      <c r="F203" s="113"/>
      <c r="G203" s="113"/>
      <c r="H203" s="113"/>
      <c r="I203" s="88">
        <v>2065.58</v>
      </c>
      <c r="J203" s="86"/>
      <c r="K203" s="86"/>
      <c r="L203" s="86"/>
      <c r="M203" s="86"/>
      <c r="N203" s="86"/>
    </row>
    <row r="204" spans="1:14" ht="22.5" x14ac:dyDescent="0.2">
      <c r="A204" s="112" t="s">
        <v>350</v>
      </c>
      <c r="B204" s="113"/>
      <c r="C204" s="113"/>
      <c r="D204" s="113"/>
      <c r="E204" s="113"/>
      <c r="F204" s="113"/>
      <c r="G204" s="113"/>
      <c r="H204" s="113"/>
      <c r="I204" s="88">
        <v>72149.039999999994</v>
      </c>
      <c r="J204" s="86"/>
      <c r="K204" s="86"/>
      <c r="L204" s="86"/>
      <c r="M204" s="86"/>
      <c r="N204" s="86" t="s">
        <v>655</v>
      </c>
    </row>
    <row r="205" spans="1:14" x14ac:dyDescent="0.2">
      <c r="A205" s="112" t="s">
        <v>351</v>
      </c>
      <c r="B205" s="113"/>
      <c r="C205" s="113"/>
      <c r="D205" s="113"/>
      <c r="E205" s="113"/>
      <c r="F205" s="113"/>
      <c r="G205" s="113"/>
      <c r="H205" s="113"/>
      <c r="I205" s="88"/>
      <c r="J205" s="86"/>
      <c r="K205" s="86"/>
      <c r="L205" s="86"/>
      <c r="M205" s="86"/>
      <c r="N205" s="86"/>
    </row>
    <row r="206" spans="1:14" x14ac:dyDescent="0.2">
      <c r="A206" s="112" t="s">
        <v>352</v>
      </c>
      <c r="B206" s="113"/>
      <c r="C206" s="113"/>
      <c r="D206" s="113"/>
      <c r="E206" s="113"/>
      <c r="F206" s="113"/>
      <c r="G206" s="113"/>
      <c r="H206" s="113"/>
      <c r="I206" s="88">
        <v>13046.66</v>
      </c>
      <c r="J206" s="86"/>
      <c r="K206" s="86"/>
      <c r="L206" s="86"/>
      <c r="M206" s="86"/>
      <c r="N206" s="86"/>
    </row>
    <row r="207" spans="1:14" x14ac:dyDescent="0.2">
      <c r="A207" s="112" t="s">
        <v>353</v>
      </c>
      <c r="B207" s="113"/>
      <c r="C207" s="113"/>
      <c r="D207" s="113"/>
      <c r="E207" s="113"/>
      <c r="F207" s="113"/>
      <c r="G207" s="113"/>
      <c r="H207" s="113"/>
      <c r="I207" s="88">
        <v>20956.34</v>
      </c>
      <c r="J207" s="86"/>
      <c r="K207" s="86"/>
      <c r="L207" s="86"/>
      <c r="M207" s="86"/>
      <c r="N207" s="86"/>
    </row>
    <row r="208" spans="1:14" x14ac:dyDescent="0.2">
      <c r="A208" s="112" t="s">
        <v>354</v>
      </c>
      <c r="B208" s="113"/>
      <c r="C208" s="113"/>
      <c r="D208" s="113"/>
      <c r="E208" s="113"/>
      <c r="F208" s="113"/>
      <c r="G208" s="113"/>
      <c r="H208" s="113"/>
      <c r="I208" s="88">
        <v>20686.02</v>
      </c>
      <c r="J208" s="86"/>
      <c r="K208" s="86"/>
      <c r="L208" s="86"/>
      <c r="M208" s="86"/>
      <c r="N208" s="86"/>
    </row>
    <row r="209" spans="1:14" x14ac:dyDescent="0.2">
      <c r="A209" s="112" t="s">
        <v>355</v>
      </c>
      <c r="B209" s="113"/>
      <c r="C209" s="113"/>
      <c r="D209" s="113"/>
      <c r="E209" s="113"/>
      <c r="F209" s="113"/>
      <c r="G209" s="113"/>
      <c r="H209" s="113"/>
      <c r="I209" s="88">
        <v>17087.16</v>
      </c>
      <c r="J209" s="86"/>
      <c r="K209" s="86"/>
      <c r="L209" s="86"/>
      <c r="M209" s="86"/>
      <c r="N209" s="86"/>
    </row>
    <row r="210" spans="1:14" x14ac:dyDescent="0.2">
      <c r="A210" s="112" t="s">
        <v>356</v>
      </c>
      <c r="B210" s="113"/>
      <c r="C210" s="113"/>
      <c r="D210" s="113"/>
      <c r="E210" s="113"/>
      <c r="F210" s="113"/>
      <c r="G210" s="113"/>
      <c r="H210" s="113"/>
      <c r="I210" s="88">
        <v>9807.57</v>
      </c>
      <c r="J210" s="86"/>
      <c r="K210" s="86"/>
      <c r="L210" s="86"/>
      <c r="M210" s="86"/>
      <c r="N210" s="86"/>
    </row>
    <row r="211" spans="1:14" ht="22.5" x14ac:dyDescent="0.2">
      <c r="A211" s="135" t="s">
        <v>666</v>
      </c>
      <c r="B211" s="136"/>
      <c r="C211" s="136"/>
      <c r="D211" s="136"/>
      <c r="E211" s="136"/>
      <c r="F211" s="136"/>
      <c r="G211" s="136"/>
      <c r="H211" s="136"/>
      <c r="I211" s="93">
        <v>72149.039999999994</v>
      </c>
      <c r="J211" s="91"/>
      <c r="K211" s="91"/>
      <c r="L211" s="91"/>
      <c r="M211" s="91"/>
      <c r="N211" s="91" t="s">
        <v>655</v>
      </c>
    </row>
    <row r="212" spans="1:14" ht="33.75" x14ac:dyDescent="0.2">
      <c r="A212" s="137" t="s">
        <v>667</v>
      </c>
      <c r="B212" s="113"/>
      <c r="C212" s="113"/>
      <c r="D212" s="113"/>
      <c r="E212" s="113"/>
      <c r="F212" s="113"/>
      <c r="G212" s="113"/>
      <c r="H212" s="113"/>
      <c r="I212" s="94">
        <v>2198757.63</v>
      </c>
      <c r="J212" s="94">
        <v>442565.35</v>
      </c>
      <c r="K212" s="94" t="s">
        <v>668</v>
      </c>
      <c r="L212" s="94">
        <v>1689882.51</v>
      </c>
      <c r="M212" s="94"/>
      <c r="N212" s="94" t="s">
        <v>669</v>
      </c>
    </row>
    <row r="213" spans="1:14" x14ac:dyDescent="0.2">
      <c r="A213" s="137" t="s">
        <v>341</v>
      </c>
      <c r="B213" s="113"/>
      <c r="C213" s="113"/>
      <c r="D213" s="113"/>
      <c r="E213" s="113"/>
      <c r="F213" s="113"/>
      <c r="G213" s="113"/>
      <c r="H213" s="113"/>
      <c r="I213" s="94">
        <v>376196.2</v>
      </c>
      <c r="J213" s="94"/>
      <c r="K213" s="94"/>
      <c r="L213" s="94"/>
      <c r="M213" s="94"/>
      <c r="N213" s="94"/>
    </row>
    <row r="214" spans="1:14" x14ac:dyDescent="0.2">
      <c r="A214" s="137" t="s">
        <v>344</v>
      </c>
      <c r="B214" s="113"/>
      <c r="C214" s="113"/>
      <c r="D214" s="113"/>
      <c r="E214" s="113"/>
      <c r="F214" s="113"/>
      <c r="G214" s="113"/>
      <c r="H214" s="113"/>
      <c r="I214" s="94">
        <v>223753.14</v>
      </c>
      <c r="J214" s="94"/>
      <c r="K214" s="94"/>
      <c r="L214" s="94"/>
      <c r="M214" s="94"/>
      <c r="N214" s="94"/>
    </row>
    <row r="215" spans="1:14" x14ac:dyDescent="0.2">
      <c r="A215" s="138" t="s">
        <v>670</v>
      </c>
      <c r="B215" s="111"/>
      <c r="C215" s="111"/>
      <c r="D215" s="111"/>
      <c r="E215" s="111"/>
      <c r="F215" s="111"/>
      <c r="G215" s="111"/>
      <c r="H215" s="111"/>
      <c r="I215" s="94"/>
      <c r="J215" s="94"/>
      <c r="K215" s="94"/>
      <c r="L215" s="94"/>
      <c r="M215" s="94"/>
      <c r="N215" s="94"/>
    </row>
    <row r="216" spans="1:14" ht="33.75" x14ac:dyDescent="0.2">
      <c r="A216" s="137" t="s">
        <v>347</v>
      </c>
      <c r="B216" s="113"/>
      <c r="C216" s="113"/>
      <c r="D216" s="113"/>
      <c r="E216" s="113"/>
      <c r="F216" s="113"/>
      <c r="G216" s="113"/>
      <c r="H216" s="113"/>
      <c r="I216" s="94">
        <v>318827</v>
      </c>
      <c r="J216" s="94"/>
      <c r="K216" s="94"/>
      <c r="L216" s="94"/>
      <c r="M216" s="94"/>
      <c r="N216" s="94" t="s">
        <v>348</v>
      </c>
    </row>
    <row r="217" spans="1:14" x14ac:dyDescent="0.2">
      <c r="A217" s="137" t="s">
        <v>349</v>
      </c>
      <c r="B217" s="113"/>
      <c r="C217" s="113"/>
      <c r="D217" s="113"/>
      <c r="E217" s="113"/>
      <c r="F217" s="113"/>
      <c r="G217" s="113"/>
      <c r="H217" s="113"/>
      <c r="I217" s="94">
        <v>9752.3799999999992</v>
      </c>
      <c r="J217" s="94"/>
      <c r="K217" s="94"/>
      <c r="L217" s="94"/>
      <c r="M217" s="94"/>
      <c r="N217" s="94">
        <v>35.14</v>
      </c>
    </row>
    <row r="218" spans="1:14" ht="33.75" x14ac:dyDescent="0.2">
      <c r="A218" s="137" t="s">
        <v>492</v>
      </c>
      <c r="B218" s="113"/>
      <c r="C218" s="113"/>
      <c r="D218" s="113"/>
      <c r="E218" s="113"/>
      <c r="F218" s="113"/>
      <c r="G218" s="113"/>
      <c r="H218" s="113"/>
      <c r="I218" s="94">
        <v>1450441.99</v>
      </c>
      <c r="J218" s="94"/>
      <c r="K218" s="94"/>
      <c r="L218" s="94"/>
      <c r="M218" s="94"/>
      <c r="N218" s="94" t="s">
        <v>671</v>
      </c>
    </row>
    <row r="219" spans="1:14" x14ac:dyDescent="0.2">
      <c r="A219" s="137" t="s">
        <v>493</v>
      </c>
      <c r="B219" s="113"/>
      <c r="C219" s="113"/>
      <c r="D219" s="113"/>
      <c r="E219" s="113"/>
      <c r="F219" s="113"/>
      <c r="G219" s="113"/>
      <c r="H219" s="113"/>
      <c r="I219" s="94">
        <v>757042.1</v>
      </c>
      <c r="J219" s="94"/>
      <c r="K219" s="94"/>
      <c r="L219" s="94"/>
      <c r="M219" s="94"/>
      <c r="N219" s="94"/>
    </row>
    <row r="220" spans="1:14" ht="22.5" x14ac:dyDescent="0.2">
      <c r="A220" s="137" t="s">
        <v>535</v>
      </c>
      <c r="B220" s="113"/>
      <c r="C220" s="113"/>
      <c r="D220" s="113"/>
      <c r="E220" s="113"/>
      <c r="F220" s="113"/>
      <c r="G220" s="113"/>
      <c r="H220" s="113"/>
      <c r="I220" s="94">
        <v>30802.400000000001</v>
      </c>
      <c r="J220" s="94"/>
      <c r="K220" s="94"/>
      <c r="L220" s="94"/>
      <c r="M220" s="94"/>
      <c r="N220" s="94" t="s">
        <v>672</v>
      </c>
    </row>
    <row r="221" spans="1:14" x14ac:dyDescent="0.2">
      <c r="A221" s="137" t="s">
        <v>537</v>
      </c>
      <c r="B221" s="113"/>
      <c r="C221" s="113"/>
      <c r="D221" s="113"/>
      <c r="E221" s="113"/>
      <c r="F221" s="113"/>
      <c r="G221" s="113"/>
      <c r="H221" s="113"/>
      <c r="I221" s="94">
        <v>159692.06</v>
      </c>
      <c r="J221" s="94"/>
      <c r="K221" s="94"/>
      <c r="L221" s="94"/>
      <c r="M221" s="94"/>
      <c r="N221" s="94">
        <v>262.33</v>
      </c>
    </row>
    <row r="222" spans="1:14" ht="22.5" x14ac:dyDescent="0.2">
      <c r="A222" s="137" t="s">
        <v>661</v>
      </c>
      <c r="B222" s="113"/>
      <c r="C222" s="113"/>
      <c r="D222" s="113"/>
      <c r="E222" s="113"/>
      <c r="F222" s="113"/>
      <c r="G222" s="113"/>
      <c r="H222" s="113"/>
      <c r="I222" s="94">
        <v>59507.35</v>
      </c>
      <c r="J222" s="94"/>
      <c r="K222" s="94"/>
      <c r="L222" s="94"/>
      <c r="M222" s="94"/>
      <c r="N222" s="94" t="s">
        <v>662</v>
      </c>
    </row>
    <row r="223" spans="1:14" ht="22.5" x14ac:dyDescent="0.2">
      <c r="A223" s="137" t="s">
        <v>663</v>
      </c>
      <c r="B223" s="113"/>
      <c r="C223" s="113"/>
      <c r="D223" s="113"/>
      <c r="E223" s="113"/>
      <c r="F223" s="113"/>
      <c r="G223" s="113"/>
      <c r="H223" s="113"/>
      <c r="I223" s="94">
        <v>9763.7900000000009</v>
      </c>
      <c r="J223" s="94"/>
      <c r="K223" s="94"/>
      <c r="L223" s="94"/>
      <c r="M223" s="94"/>
      <c r="N223" s="94" t="s">
        <v>647</v>
      </c>
    </row>
    <row r="224" spans="1:14" x14ac:dyDescent="0.2">
      <c r="A224" s="137" t="s">
        <v>664</v>
      </c>
      <c r="B224" s="113"/>
      <c r="C224" s="113"/>
      <c r="D224" s="113"/>
      <c r="E224" s="113"/>
      <c r="F224" s="113"/>
      <c r="G224" s="113"/>
      <c r="H224" s="113"/>
      <c r="I224" s="94">
        <v>812.32</v>
      </c>
      <c r="J224" s="94"/>
      <c r="K224" s="94"/>
      <c r="L224" s="94"/>
      <c r="M224" s="94"/>
      <c r="N224" s="94"/>
    </row>
    <row r="225" spans="1:14" x14ac:dyDescent="0.2">
      <c r="A225" s="137" t="s">
        <v>665</v>
      </c>
      <c r="B225" s="113"/>
      <c r="C225" s="113"/>
      <c r="D225" s="113"/>
      <c r="E225" s="113"/>
      <c r="F225" s="113"/>
      <c r="G225" s="113"/>
      <c r="H225" s="113"/>
      <c r="I225" s="94">
        <v>2065.58</v>
      </c>
      <c r="J225" s="94"/>
      <c r="K225" s="94"/>
      <c r="L225" s="94"/>
      <c r="M225" s="94"/>
      <c r="N225" s="94"/>
    </row>
    <row r="226" spans="1:14" ht="33.75" x14ac:dyDescent="0.2">
      <c r="A226" s="137" t="s">
        <v>350</v>
      </c>
      <c r="B226" s="113"/>
      <c r="C226" s="113"/>
      <c r="D226" s="113"/>
      <c r="E226" s="113"/>
      <c r="F226" s="113"/>
      <c r="G226" s="113"/>
      <c r="H226" s="113"/>
      <c r="I226" s="94">
        <v>2798706.97</v>
      </c>
      <c r="J226" s="94"/>
      <c r="K226" s="94"/>
      <c r="L226" s="94"/>
      <c r="M226" s="94"/>
      <c r="N226" s="94" t="s">
        <v>669</v>
      </c>
    </row>
    <row r="227" spans="1:14" x14ac:dyDescent="0.2">
      <c r="A227" s="137" t="s">
        <v>351</v>
      </c>
      <c r="B227" s="113"/>
      <c r="C227" s="113"/>
      <c r="D227" s="113"/>
      <c r="E227" s="113"/>
      <c r="F227" s="113"/>
      <c r="G227" s="113"/>
      <c r="H227" s="113"/>
      <c r="I227" s="94"/>
      <c r="J227" s="94"/>
      <c r="K227" s="94"/>
      <c r="L227" s="94"/>
      <c r="M227" s="94"/>
      <c r="N227" s="94"/>
    </row>
    <row r="228" spans="1:14" x14ac:dyDescent="0.2">
      <c r="A228" s="137" t="s">
        <v>352</v>
      </c>
      <c r="B228" s="113"/>
      <c r="C228" s="113"/>
      <c r="D228" s="113"/>
      <c r="E228" s="113"/>
      <c r="F228" s="113"/>
      <c r="G228" s="113"/>
      <c r="H228" s="113"/>
      <c r="I228" s="94">
        <v>1689882.51</v>
      </c>
      <c r="J228" s="94"/>
      <c r="K228" s="94"/>
      <c r="L228" s="94"/>
      <c r="M228" s="94"/>
      <c r="N228" s="94"/>
    </row>
    <row r="229" spans="1:14" x14ac:dyDescent="0.2">
      <c r="A229" s="137" t="s">
        <v>353</v>
      </c>
      <c r="B229" s="113"/>
      <c r="C229" s="113"/>
      <c r="D229" s="113"/>
      <c r="E229" s="113"/>
      <c r="F229" s="113"/>
      <c r="G229" s="113"/>
      <c r="H229" s="113"/>
      <c r="I229" s="94">
        <v>66309.77</v>
      </c>
      <c r="J229" s="94"/>
      <c r="K229" s="94"/>
      <c r="L229" s="94"/>
      <c r="M229" s="94"/>
      <c r="N229" s="94"/>
    </row>
    <row r="230" spans="1:14" x14ac:dyDescent="0.2">
      <c r="A230" s="137" t="s">
        <v>354</v>
      </c>
      <c r="B230" s="113"/>
      <c r="C230" s="113"/>
      <c r="D230" s="113"/>
      <c r="E230" s="113"/>
      <c r="F230" s="113"/>
      <c r="G230" s="113"/>
      <c r="H230" s="113"/>
      <c r="I230" s="94">
        <v>455570.04</v>
      </c>
      <c r="J230" s="94"/>
      <c r="K230" s="94"/>
      <c r="L230" s="94"/>
      <c r="M230" s="94"/>
      <c r="N230" s="94"/>
    </row>
    <row r="231" spans="1:14" x14ac:dyDescent="0.2">
      <c r="A231" s="137" t="s">
        <v>355</v>
      </c>
      <c r="B231" s="113"/>
      <c r="C231" s="113"/>
      <c r="D231" s="113"/>
      <c r="E231" s="113"/>
      <c r="F231" s="113"/>
      <c r="G231" s="113"/>
      <c r="H231" s="113"/>
      <c r="I231" s="94">
        <v>376196.2</v>
      </c>
      <c r="J231" s="94"/>
      <c r="K231" s="94"/>
      <c r="L231" s="94"/>
      <c r="M231" s="94"/>
      <c r="N231" s="94"/>
    </row>
    <row r="232" spans="1:14" x14ac:dyDescent="0.2">
      <c r="A232" s="137" t="s">
        <v>356</v>
      </c>
      <c r="B232" s="113"/>
      <c r="C232" s="113"/>
      <c r="D232" s="113"/>
      <c r="E232" s="113"/>
      <c r="F232" s="113"/>
      <c r="G232" s="113"/>
      <c r="H232" s="113"/>
      <c r="I232" s="94">
        <v>223753.14</v>
      </c>
      <c r="J232" s="94"/>
      <c r="K232" s="94"/>
      <c r="L232" s="94"/>
      <c r="M232" s="94"/>
      <c r="N232" s="94"/>
    </row>
    <row r="233" spans="1:14" ht="33.75" x14ac:dyDescent="0.2">
      <c r="A233" s="138" t="s">
        <v>673</v>
      </c>
      <c r="B233" s="111"/>
      <c r="C233" s="111"/>
      <c r="D233" s="111"/>
      <c r="E233" s="111"/>
      <c r="F233" s="111"/>
      <c r="G233" s="111"/>
      <c r="H233" s="111"/>
      <c r="I233" s="95">
        <v>2798706.97</v>
      </c>
      <c r="J233" s="94"/>
      <c r="K233" s="94"/>
      <c r="L233" s="94"/>
      <c r="M233" s="94"/>
      <c r="N233" s="94" t="s">
        <v>669</v>
      </c>
    </row>
    <row r="234" spans="1:14" x14ac:dyDescent="0.2">
      <c r="A234" s="55"/>
      <c r="B234" s="58"/>
      <c r="C234" s="58"/>
      <c r="D234" s="55"/>
      <c r="E234" s="56"/>
      <c r="F234" s="56"/>
      <c r="G234" s="56"/>
      <c r="H234" s="56"/>
      <c r="I234" s="57"/>
      <c r="J234" s="56"/>
      <c r="K234" s="56"/>
      <c r="L234" s="56"/>
      <c r="M234" s="56"/>
      <c r="N234" s="77"/>
    </row>
    <row r="235" spans="1:14" x14ac:dyDescent="0.2">
      <c r="A235" s="55"/>
      <c r="B235" s="58"/>
      <c r="C235" s="58"/>
      <c r="D235" s="55"/>
      <c r="E235" s="56"/>
      <c r="F235" s="56"/>
      <c r="G235" s="56"/>
      <c r="H235" s="56"/>
      <c r="I235" s="57"/>
      <c r="J235" s="56"/>
      <c r="K235" s="56"/>
      <c r="L235" s="56"/>
      <c r="M235" s="56"/>
      <c r="N235" s="77"/>
    </row>
    <row r="236" spans="1:14" x14ac:dyDescent="0.2">
      <c r="A236" s="55"/>
      <c r="B236" s="58"/>
      <c r="C236" s="78" t="s">
        <v>679</v>
      </c>
      <c r="D236" s="55"/>
      <c r="E236" s="56"/>
      <c r="F236" s="78" t="s">
        <v>316</v>
      </c>
      <c r="G236" s="78"/>
      <c r="H236" s="78"/>
      <c r="I236" s="56"/>
      <c r="J236" s="56"/>
      <c r="K236" s="56"/>
      <c r="L236" s="56"/>
      <c r="M236" s="56"/>
      <c r="N236" s="77"/>
    </row>
    <row r="237" spans="1:14" x14ac:dyDescent="0.2">
      <c r="A237" s="79"/>
      <c r="B237" s="79"/>
      <c r="C237" s="79"/>
      <c r="D237" s="79"/>
      <c r="E237" s="80"/>
      <c r="F237" s="80"/>
      <c r="G237" s="80"/>
      <c r="H237" s="80"/>
      <c r="I237" s="80"/>
      <c r="J237" s="80"/>
      <c r="K237" s="80"/>
      <c r="L237" s="80"/>
      <c r="M237" s="80"/>
      <c r="N237" s="77"/>
    </row>
    <row r="238" spans="1:14" x14ac:dyDescent="0.2">
      <c r="A238" s="53"/>
      <c r="B238" s="53"/>
      <c r="C238" s="53"/>
      <c r="D238" s="53"/>
      <c r="E238" s="54"/>
      <c r="F238" s="54"/>
      <c r="G238" s="54"/>
      <c r="H238" s="54"/>
      <c r="I238" s="54"/>
      <c r="J238" s="54"/>
      <c r="K238" s="54"/>
      <c r="L238" s="54"/>
      <c r="M238" s="54"/>
      <c r="N238" s="52"/>
    </row>
    <row r="240" spans="1:14" x14ac:dyDescent="0.2">
      <c r="B240" s="53"/>
    </row>
  </sheetData>
  <mergeCells count="166">
    <mergeCell ref="A233:H233"/>
    <mergeCell ref="C1:L1"/>
    <mergeCell ref="J3:N3"/>
    <mergeCell ref="J4:N4"/>
    <mergeCell ref="J6:N6"/>
    <mergeCell ref="A228:H228"/>
    <mergeCell ref="A229:H229"/>
    <mergeCell ref="A230:H230"/>
    <mergeCell ref="A231:H231"/>
    <mergeCell ref="A232:H232"/>
    <mergeCell ref="A222:H222"/>
    <mergeCell ref="A223:H223"/>
    <mergeCell ref="A224:H224"/>
    <mergeCell ref="A225:H225"/>
    <mergeCell ref="A226:H226"/>
    <mergeCell ref="A227:H227"/>
    <mergeCell ref="A216:H216"/>
    <mergeCell ref="A217:H217"/>
    <mergeCell ref="A218:H218"/>
    <mergeCell ref="A219:H219"/>
    <mergeCell ref="A220:H220"/>
    <mergeCell ref="A221:H221"/>
    <mergeCell ref="A210:H210"/>
    <mergeCell ref="A211:H211"/>
    <mergeCell ref="A212:H212"/>
    <mergeCell ref="A213:H213"/>
    <mergeCell ref="A214:H214"/>
    <mergeCell ref="A215:H215"/>
    <mergeCell ref="A204:H204"/>
    <mergeCell ref="A205:H205"/>
    <mergeCell ref="A206:H206"/>
    <mergeCell ref="A207:H207"/>
    <mergeCell ref="A208:H208"/>
    <mergeCell ref="A209:H209"/>
    <mergeCell ref="A198:H198"/>
    <mergeCell ref="A199:H199"/>
    <mergeCell ref="A200:H200"/>
    <mergeCell ref="A201:H201"/>
    <mergeCell ref="A202:H202"/>
    <mergeCell ref="A203:H203"/>
    <mergeCell ref="A192:H192"/>
    <mergeCell ref="A193:H193"/>
    <mergeCell ref="A194:H194"/>
    <mergeCell ref="A195:H195"/>
    <mergeCell ref="A196:H196"/>
    <mergeCell ref="A197:H197"/>
    <mergeCell ref="A175:H175"/>
    <mergeCell ref="A176:H176"/>
    <mergeCell ref="A177:H177"/>
    <mergeCell ref="A178:N178"/>
    <mergeCell ref="A190:H190"/>
    <mergeCell ref="A191:H191"/>
    <mergeCell ref="A169:H169"/>
    <mergeCell ref="A170:H170"/>
    <mergeCell ref="A171:H171"/>
    <mergeCell ref="A172:H172"/>
    <mergeCell ref="A173:H173"/>
    <mergeCell ref="A174:H174"/>
    <mergeCell ref="A163:H163"/>
    <mergeCell ref="A164:H164"/>
    <mergeCell ref="A165:H165"/>
    <mergeCell ref="A166:H166"/>
    <mergeCell ref="A167:H167"/>
    <mergeCell ref="A168:H168"/>
    <mergeCell ref="A151:N151"/>
    <mergeCell ref="A158:H158"/>
    <mergeCell ref="A159:H159"/>
    <mergeCell ref="A160:H160"/>
    <mergeCell ref="A161:H161"/>
    <mergeCell ref="A162:H162"/>
    <mergeCell ref="A145:H145"/>
    <mergeCell ref="A146:H146"/>
    <mergeCell ref="A147:H147"/>
    <mergeCell ref="A148:H148"/>
    <mergeCell ref="A149:H149"/>
    <mergeCell ref="A150:H150"/>
    <mergeCell ref="A139:H139"/>
    <mergeCell ref="A140:H140"/>
    <mergeCell ref="A141:H141"/>
    <mergeCell ref="A142:H142"/>
    <mergeCell ref="A143:H143"/>
    <mergeCell ref="A144:H144"/>
    <mergeCell ref="A133:H133"/>
    <mergeCell ref="A134:H134"/>
    <mergeCell ref="A135:H135"/>
    <mergeCell ref="A136:H136"/>
    <mergeCell ref="A137:H137"/>
    <mergeCell ref="A138:H138"/>
    <mergeCell ref="A118:H118"/>
    <mergeCell ref="A119:H119"/>
    <mergeCell ref="A120:H120"/>
    <mergeCell ref="A121:H121"/>
    <mergeCell ref="A122:H122"/>
    <mergeCell ref="A123:N123"/>
    <mergeCell ref="A112:H112"/>
    <mergeCell ref="A113:H113"/>
    <mergeCell ref="A114:H114"/>
    <mergeCell ref="A115:H115"/>
    <mergeCell ref="A116:H116"/>
    <mergeCell ref="A117:H117"/>
    <mergeCell ref="A106:H106"/>
    <mergeCell ref="A107:H107"/>
    <mergeCell ref="A108:H108"/>
    <mergeCell ref="A109:H109"/>
    <mergeCell ref="A110:H110"/>
    <mergeCell ref="A111:H111"/>
    <mergeCell ref="A94:H94"/>
    <mergeCell ref="A95:H95"/>
    <mergeCell ref="A96:N96"/>
    <mergeCell ref="A103:H103"/>
    <mergeCell ref="A104:H104"/>
    <mergeCell ref="A105:H105"/>
    <mergeCell ref="A88:H88"/>
    <mergeCell ref="A89:H89"/>
    <mergeCell ref="A90:H90"/>
    <mergeCell ref="A91:H91"/>
    <mergeCell ref="A92:H92"/>
    <mergeCell ref="A93:H93"/>
    <mergeCell ref="A82:H82"/>
    <mergeCell ref="A83:H83"/>
    <mergeCell ref="A84:H84"/>
    <mergeCell ref="A85:H85"/>
    <mergeCell ref="A86:H86"/>
    <mergeCell ref="A87:H87"/>
    <mergeCell ref="A43:H43"/>
    <mergeCell ref="A44:N44"/>
    <mergeCell ref="A78:H78"/>
    <mergeCell ref="A79:H79"/>
    <mergeCell ref="A80:H80"/>
    <mergeCell ref="A81:H8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1:N21"/>
    <mergeCell ref="A26:H26"/>
    <mergeCell ref="A27:H27"/>
    <mergeCell ref="A28:H28"/>
    <mergeCell ref="A29:H29"/>
    <mergeCell ref="A30:H30"/>
    <mergeCell ref="A11:N11"/>
    <mergeCell ref="C12:E12"/>
    <mergeCell ref="D13:E13"/>
    <mergeCell ref="G18:G19"/>
    <mergeCell ref="M16:N17"/>
    <mergeCell ref="E16:G17"/>
    <mergeCell ref="I16:L17"/>
    <mergeCell ref="M18:M19"/>
    <mergeCell ref="H16:H19"/>
    <mergeCell ref="I18:I19"/>
    <mergeCell ref="J18:J19"/>
    <mergeCell ref="L18:L19"/>
    <mergeCell ref="N18:N19"/>
    <mergeCell ref="A16:A19"/>
    <mergeCell ref="D16:D19"/>
    <mergeCell ref="C16:C19"/>
    <mergeCell ref="B16:B19"/>
    <mergeCell ref="K12:N14"/>
  </mergeCells>
  <phoneticPr fontId="0" type="noConversion"/>
  <pageMargins left="3.937007874015748E-2" right="0" top="0.78740157480314965" bottom="0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2.75" x14ac:dyDescent="0.2"/>
  <cols>
    <col min="1" max="1" width="4" style="15" customWidth="1"/>
    <col min="2" max="2" width="70.42578125" style="14" customWidth="1"/>
    <col min="3" max="3" width="4" style="12" customWidth="1"/>
    <col min="4" max="4" width="63.28515625" style="4" customWidth="1"/>
    <col min="5" max="5" width="3.5703125" customWidth="1"/>
    <col min="6" max="6" width="48.28515625" customWidth="1"/>
    <col min="12" max="12" width="18.5703125" bestFit="1" customWidth="1"/>
  </cols>
  <sheetData>
    <row r="1" spans="1:6" ht="13.5" customHeight="1" x14ac:dyDescent="0.25">
      <c r="A1" s="141" t="s">
        <v>232</v>
      </c>
      <c r="B1" s="142"/>
      <c r="C1" s="142"/>
      <c r="D1" s="142"/>
      <c r="E1" s="16"/>
      <c r="F1" s="10"/>
    </row>
    <row r="2" spans="1:6" x14ac:dyDescent="0.2">
      <c r="A2" s="12"/>
      <c r="B2" s="4"/>
      <c r="E2" s="16"/>
    </row>
    <row r="3" spans="1:6" ht="13.5" thickBot="1" x14ac:dyDescent="0.25">
      <c r="A3" s="12"/>
      <c r="B3" s="4"/>
      <c r="E3" s="16"/>
    </row>
    <row r="4" spans="1:6" ht="13.5" thickBot="1" x14ac:dyDescent="0.25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">
      <c r="A5" s="21"/>
      <c r="B5" s="22"/>
      <c r="C5" s="21"/>
      <c r="D5" s="23"/>
      <c r="E5" s="24"/>
      <c r="F5" s="25"/>
    </row>
    <row r="6" spans="1:6" x14ac:dyDescent="0.2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">
      <c r="A19" s="26">
        <v>12</v>
      </c>
      <c r="B19" s="33" t="s">
        <v>88</v>
      </c>
      <c r="D19" s="30"/>
      <c r="E19" s="24"/>
      <c r="F19" s="25"/>
    </row>
    <row r="20" spans="1:6" x14ac:dyDescent="0.2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">
      <c r="A26" s="26">
        <v>19</v>
      </c>
      <c r="B26" s="33" t="s">
        <v>92</v>
      </c>
      <c r="D26" s="30"/>
      <c r="E26" s="24"/>
      <c r="F26" s="25"/>
    </row>
    <row r="27" spans="1:6" x14ac:dyDescent="0.2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">
      <c r="A33" s="26">
        <v>26</v>
      </c>
      <c r="B33" s="33" t="s">
        <v>99</v>
      </c>
      <c r="D33" s="30"/>
      <c r="E33" s="24"/>
      <c r="F33" s="25"/>
    </row>
    <row r="34" spans="1:6" x14ac:dyDescent="0.2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">
      <c r="A40" s="26">
        <v>33</v>
      </c>
      <c r="B40" s="31" t="s">
        <v>105</v>
      </c>
      <c r="D40" s="30"/>
      <c r="E40" s="24"/>
      <c r="F40" s="25"/>
    </row>
    <row r="41" spans="1:6" x14ac:dyDescent="0.2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">
      <c r="A54" s="26">
        <v>47</v>
      </c>
      <c r="B54" s="31" t="s">
        <v>275</v>
      </c>
      <c r="D54" s="30"/>
      <c r="E54" s="24"/>
      <c r="F54" s="25"/>
    </row>
    <row r="55" spans="1:6" x14ac:dyDescent="0.2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">
      <c r="A61" s="26">
        <v>54</v>
      </c>
      <c r="B61" s="31" t="s">
        <v>282</v>
      </c>
      <c r="D61" s="30"/>
      <c r="E61" s="24"/>
      <c r="F61" s="25"/>
    </row>
    <row r="62" spans="1:6" x14ac:dyDescent="0.2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">
      <c r="A67" s="26"/>
      <c r="B67" s="31"/>
      <c r="D67" s="34"/>
      <c r="E67" s="24"/>
      <c r="F67" s="25"/>
    </row>
    <row r="68" spans="1:6" x14ac:dyDescent="0.2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">
      <c r="A72" s="26">
        <v>62</v>
      </c>
      <c r="B72" s="33" t="s">
        <v>121</v>
      </c>
      <c r="D72" s="34"/>
      <c r="E72" s="24"/>
      <c r="F72" s="25"/>
    </row>
    <row r="73" spans="1:6" x14ac:dyDescent="0.2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5.5" x14ac:dyDescent="0.2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">
      <c r="A98" s="26">
        <v>85</v>
      </c>
      <c r="B98" s="33" t="s">
        <v>140</v>
      </c>
      <c r="D98" s="34"/>
      <c r="E98" s="24"/>
      <c r="F98" s="25"/>
    </row>
    <row r="99" spans="1:6" x14ac:dyDescent="0.2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5.5" x14ac:dyDescent="0.2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">
      <c r="A118" s="26"/>
      <c r="B118" s="31"/>
      <c r="D118" s="34"/>
      <c r="E118" s="24"/>
      <c r="F118" s="25"/>
    </row>
    <row r="119" spans="1:6" x14ac:dyDescent="0.2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5.5" x14ac:dyDescent="0.2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">
      <c r="A152" s="36"/>
      <c r="D152" s="34"/>
      <c r="E152" s="24"/>
      <c r="F152" s="25"/>
    </row>
    <row r="153" spans="1:6" ht="25.5" x14ac:dyDescent="0.2">
      <c r="A153" s="36"/>
      <c r="C153" s="26">
        <v>134</v>
      </c>
      <c r="D153" s="28" t="s">
        <v>37</v>
      </c>
      <c r="E153" s="24"/>
      <c r="F153" s="25"/>
    </row>
    <row r="154" spans="1:6" ht="25.5" x14ac:dyDescent="0.2">
      <c r="A154" s="36"/>
      <c r="C154" s="26">
        <v>135</v>
      </c>
      <c r="D154" s="34" t="s">
        <v>38</v>
      </c>
      <c r="E154" s="24"/>
      <c r="F154" s="25"/>
    </row>
    <row r="155" spans="1:6" x14ac:dyDescent="0.2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">
      <c r="A157" s="36"/>
      <c r="B157" s="37"/>
      <c r="D157" s="34"/>
      <c r="E157" s="24"/>
      <c r="F157" s="25"/>
    </row>
    <row r="158" spans="1:6" x14ac:dyDescent="0.2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">
      <c r="A164" s="40"/>
      <c r="B164" s="41"/>
      <c r="C164" s="42"/>
      <c r="D164" s="43"/>
      <c r="E164" s="44"/>
      <c r="F164" s="45"/>
    </row>
    <row r="215" spans="11:12" ht="14.25" customHeight="1" x14ac:dyDescent="0.2"/>
    <row r="216" spans="11:12" ht="14.25" customHeight="1" x14ac:dyDescent="0.2"/>
    <row r="220" spans="11:12" x14ac:dyDescent="0.2">
      <c r="K220" s="9"/>
      <c r="L220" s="9"/>
    </row>
    <row r="274" spans="2:12" x14ac:dyDescent="0.2">
      <c r="L274" s="8"/>
    </row>
    <row r="275" spans="2:12" x14ac:dyDescent="0.2">
      <c r="H275" s="2"/>
    </row>
    <row r="276" spans="2:12" x14ac:dyDescent="0.2">
      <c r="H276" s="3"/>
    </row>
    <row r="277" spans="2:12" x14ac:dyDescent="0.2">
      <c r="H277" s="3"/>
    </row>
    <row r="278" spans="2:12" x14ac:dyDescent="0.2">
      <c r="H278" s="3"/>
    </row>
    <row r="279" spans="2:12" x14ac:dyDescent="0.2">
      <c r="H279" s="3"/>
    </row>
    <row r="280" spans="2:12" x14ac:dyDescent="0.2">
      <c r="H280" s="3"/>
    </row>
    <row r="281" spans="2:12" x14ac:dyDescent="0.2">
      <c r="H281" s="3"/>
    </row>
    <row r="282" spans="2:12" x14ac:dyDescent="0.2">
      <c r="H282" s="3"/>
    </row>
    <row r="283" spans="2:12" x14ac:dyDescent="0.2">
      <c r="H283" s="3"/>
    </row>
    <row r="284" spans="2:12" x14ac:dyDescent="0.2">
      <c r="H284" s="3"/>
    </row>
    <row r="285" spans="2:12" x14ac:dyDescent="0.2">
      <c r="H285" s="3"/>
    </row>
    <row r="286" spans="2:12" x14ac:dyDescent="0.2">
      <c r="H286" s="3"/>
    </row>
    <row r="288" spans="2:12" x14ac:dyDescent="0.2">
      <c r="B288" s="13"/>
      <c r="H288" s="4"/>
      <c r="I288" s="5"/>
    </row>
    <row r="289" spans="8:10" x14ac:dyDescent="0.2">
      <c r="H289" s="5"/>
      <c r="I289" s="5"/>
    </row>
    <row r="290" spans="8:10" x14ac:dyDescent="0.2">
      <c r="H290" s="5"/>
      <c r="I290" s="6"/>
    </row>
    <row r="291" spans="8:10" x14ac:dyDescent="0.2">
      <c r="H291" s="5"/>
      <c r="I291" s="6"/>
    </row>
    <row r="292" spans="8:10" x14ac:dyDescent="0.2">
      <c r="H292" s="5"/>
      <c r="I292" s="6"/>
    </row>
    <row r="293" spans="8:10" x14ac:dyDescent="0.2">
      <c r="H293" s="4"/>
      <c r="I293" s="5"/>
      <c r="J293" s="5"/>
    </row>
    <row r="294" spans="8:10" x14ac:dyDescent="0.2">
      <c r="H294" s="4"/>
      <c r="I294" s="6"/>
      <c r="J294" s="6"/>
    </row>
    <row r="295" spans="8:10" x14ac:dyDescent="0.2">
      <c r="H295" s="4"/>
      <c r="I295" s="6"/>
      <c r="J295" s="6"/>
    </row>
    <row r="296" spans="8:10" x14ac:dyDescent="0.2">
      <c r="H296" s="4"/>
      <c r="I296" s="6"/>
      <c r="J296" s="6"/>
    </row>
    <row r="298" spans="8:10" x14ac:dyDescent="0.2">
      <c r="H298" s="1"/>
    </row>
    <row r="302" spans="8:10" ht="15" x14ac:dyDescent="0.3">
      <c r="H302" s="7"/>
    </row>
    <row r="303" spans="8:10" ht="15" x14ac:dyDescent="0.3">
      <c r="H303" s="7"/>
    </row>
    <row r="304" spans="8:10" ht="15" x14ac:dyDescent="0.3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Чернова Оксана Геннадьевна</cp:lastModifiedBy>
  <cp:lastPrinted>2015-12-02T03:09:21Z</cp:lastPrinted>
  <dcterms:created xsi:type="dcterms:W3CDTF">2003-01-28T12:33:10Z</dcterms:created>
  <dcterms:modified xsi:type="dcterms:W3CDTF">2016-02-01T06:10:36Z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