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ТОМСК 08,02,16\нОВГОРОДСКАЯ 42\"/>
    </mc:Choice>
  </mc:AlternateContent>
  <bookViews>
    <workbookView xWindow="0" yWindow="60" windowWidth="7500" windowHeight="4245"/>
  </bookViews>
  <sheets>
    <sheet name="Лок.См.Расч.Баз.-Инд.Методом" sheetId="5" r:id="rId1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_xlnm.Print_Titles" localSheetId="0">'Лок.См.Расч.Баз.-Инд.Методом'!$15:$18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0">'Лок.См.Расч.Баз.-Инд.Методом'!$A$1:$N$198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calcId="152511"/>
</workbook>
</file>

<file path=xl/calcChain.xml><?xml version="1.0" encoding="utf-8"?>
<calcChain xmlns="http://schemas.openxmlformats.org/spreadsheetml/2006/main">
  <c r="L162" i="5" l="1"/>
  <c r="AI162" i="5"/>
  <c r="L163" i="5"/>
  <c r="AI163" i="5"/>
  <c r="L164" i="5"/>
  <c r="AI164" i="5"/>
  <c r="L142" i="5"/>
  <c r="AI142" i="5"/>
  <c r="L143" i="5"/>
  <c r="AI143" i="5"/>
  <c r="L144" i="5"/>
  <c r="AI144" i="5"/>
  <c r="L145" i="5"/>
  <c r="AI145" i="5"/>
  <c r="L146" i="5"/>
  <c r="AI146" i="5"/>
  <c r="L147" i="5"/>
  <c r="AI147" i="5"/>
  <c r="L148" i="5"/>
  <c r="AI148" i="5"/>
  <c r="L149" i="5"/>
  <c r="AI149" i="5"/>
  <c r="L150" i="5"/>
  <c r="AI150" i="5"/>
  <c r="L151" i="5"/>
  <c r="AI151" i="5"/>
  <c r="L152" i="5"/>
  <c r="AI152" i="5"/>
  <c r="L124" i="5"/>
  <c r="AI124" i="5"/>
  <c r="L125" i="5"/>
  <c r="AI125" i="5"/>
  <c r="L126" i="5"/>
  <c r="AI126" i="5"/>
  <c r="L127" i="5"/>
  <c r="AI127" i="5"/>
  <c r="L128" i="5"/>
  <c r="AI128" i="5"/>
  <c r="L129" i="5"/>
  <c r="AI129" i="5"/>
  <c r="L130" i="5"/>
  <c r="AI130" i="5"/>
  <c r="L131" i="5"/>
  <c r="AI131" i="5"/>
  <c r="L132" i="5"/>
  <c r="AI132" i="5"/>
  <c r="L69" i="5"/>
  <c r="AI69" i="5"/>
  <c r="L70" i="5"/>
  <c r="AI70" i="5"/>
  <c r="L71" i="5"/>
  <c r="AI71" i="5"/>
  <c r="L72" i="5"/>
  <c r="AI72" i="5"/>
  <c r="L73" i="5"/>
  <c r="AI73" i="5"/>
  <c r="L74" i="5"/>
  <c r="AI74" i="5"/>
  <c r="L75" i="5"/>
  <c r="AI75" i="5"/>
  <c r="L76" i="5"/>
  <c r="AI76" i="5"/>
  <c r="L77" i="5"/>
  <c r="AI77" i="5"/>
  <c r="L78" i="5"/>
  <c r="AI78" i="5"/>
  <c r="L79" i="5"/>
  <c r="AI79" i="5"/>
  <c r="L80" i="5"/>
  <c r="AI80" i="5"/>
  <c r="L81" i="5"/>
  <c r="AI81" i="5"/>
  <c r="L82" i="5"/>
  <c r="AI82" i="5"/>
  <c r="L83" i="5"/>
  <c r="AI83" i="5"/>
  <c r="L84" i="5"/>
  <c r="AI84" i="5"/>
  <c r="L85" i="5"/>
  <c r="AI85" i="5"/>
  <c r="L86" i="5"/>
  <c r="AI86" i="5"/>
  <c r="L87" i="5"/>
  <c r="AI87" i="5"/>
  <c r="L88" i="5"/>
  <c r="AI88" i="5"/>
  <c r="L89" i="5"/>
  <c r="AI89" i="5"/>
  <c r="L90" i="5"/>
  <c r="AI90" i="5"/>
  <c r="L91" i="5"/>
  <c r="AI91" i="5"/>
  <c r="L92" i="5"/>
  <c r="AI92" i="5"/>
  <c r="L93" i="5"/>
  <c r="AI93" i="5"/>
  <c r="L94" i="5"/>
  <c r="AI94" i="5"/>
  <c r="L95" i="5"/>
  <c r="AI95" i="5"/>
  <c r="L96" i="5"/>
  <c r="AI96" i="5"/>
  <c r="L97" i="5"/>
  <c r="AI97" i="5"/>
  <c r="L98" i="5"/>
  <c r="AI98" i="5"/>
  <c r="L99" i="5"/>
  <c r="AI99" i="5"/>
  <c r="L100" i="5"/>
  <c r="AI100" i="5"/>
  <c r="L101" i="5"/>
  <c r="AI101" i="5"/>
  <c r="L102" i="5"/>
  <c r="AI102" i="5"/>
  <c r="L103" i="5"/>
  <c r="AI103" i="5"/>
  <c r="L104" i="5"/>
  <c r="AI104" i="5"/>
  <c r="L105" i="5"/>
  <c r="AI105" i="5"/>
  <c r="L106" i="5"/>
  <c r="AI106" i="5"/>
  <c r="L107" i="5"/>
  <c r="AI107" i="5"/>
  <c r="L108" i="5"/>
  <c r="AI108" i="5"/>
  <c r="L109" i="5"/>
  <c r="AI109" i="5"/>
  <c r="L110" i="5"/>
  <c r="AI110" i="5"/>
  <c r="L111" i="5"/>
  <c r="AI111" i="5"/>
  <c r="L112" i="5"/>
  <c r="AI112" i="5"/>
  <c r="L113" i="5"/>
  <c r="AI113" i="5"/>
  <c r="L114" i="5"/>
  <c r="AI114" i="5"/>
  <c r="L40" i="5"/>
  <c r="AI40" i="5"/>
  <c r="L41" i="5"/>
  <c r="AI41" i="5"/>
  <c r="L42" i="5"/>
  <c r="AI42" i="5"/>
  <c r="L43" i="5"/>
  <c r="AI43" i="5"/>
  <c r="L44" i="5"/>
  <c r="AI44" i="5"/>
  <c r="L45" i="5"/>
  <c r="AI45" i="5"/>
  <c r="L46" i="5"/>
  <c r="AI46" i="5"/>
  <c r="L47" i="5"/>
  <c r="AI47" i="5"/>
  <c r="L48" i="5"/>
  <c r="AI48" i="5"/>
  <c r="L49" i="5"/>
  <c r="AI49" i="5"/>
  <c r="L50" i="5"/>
  <c r="AI50" i="5"/>
  <c r="L51" i="5"/>
  <c r="AI51" i="5"/>
  <c r="L52" i="5"/>
  <c r="AI52" i="5"/>
  <c r="L53" i="5"/>
  <c r="AI53" i="5"/>
  <c r="L54" i="5"/>
  <c r="AI54" i="5"/>
  <c r="L55" i="5"/>
  <c r="AI55" i="5"/>
  <c r="L56" i="5"/>
  <c r="AI56" i="5"/>
  <c r="L57" i="5"/>
  <c r="AI57" i="5"/>
  <c r="L58" i="5"/>
  <c r="AI58" i="5"/>
  <c r="L59" i="5"/>
  <c r="AI59" i="5"/>
  <c r="L21" i="5"/>
  <c r="AI21" i="5"/>
  <c r="L22" i="5"/>
  <c r="AI22" i="5"/>
  <c r="L23" i="5"/>
  <c r="AI23" i="5"/>
  <c r="L24" i="5"/>
  <c r="AI24" i="5"/>
  <c r="L25" i="5"/>
  <c r="AI25" i="5"/>
  <c r="L26" i="5"/>
  <c r="AI26" i="5"/>
  <c r="L27" i="5"/>
  <c r="AI27" i="5"/>
  <c r="L28" i="5"/>
  <c r="AI28" i="5"/>
  <c r="L29" i="5"/>
  <c r="AI29" i="5"/>
  <c r="L30" i="5"/>
  <c r="AI30" i="5"/>
  <c r="L31" i="5"/>
  <c r="AI31" i="5"/>
  <c r="L32" i="5"/>
  <c r="AI32" i="5"/>
  <c r="L33" i="5"/>
  <c r="AI33" i="5"/>
  <c r="C164" i="5"/>
  <c r="C126" i="5"/>
  <c r="C72" i="5"/>
  <c r="C80" i="5"/>
  <c r="C88" i="5"/>
  <c r="C96" i="5"/>
  <c r="C104" i="5"/>
  <c r="C112" i="5"/>
  <c r="C45" i="5"/>
  <c r="C53" i="5"/>
  <c r="C22" i="5"/>
  <c r="C32" i="5"/>
  <c r="C142" i="5"/>
  <c r="C146" i="5"/>
  <c r="C150" i="5"/>
  <c r="C125" i="5"/>
  <c r="C129" i="5"/>
  <c r="C69" i="5"/>
  <c r="C73" i="5"/>
  <c r="C77" i="5"/>
  <c r="C81" i="5"/>
  <c r="C85" i="5"/>
  <c r="C89" i="5"/>
  <c r="C93" i="5"/>
  <c r="C97" i="5"/>
  <c r="C101" i="5"/>
  <c r="C105" i="5"/>
  <c r="C109" i="5"/>
  <c r="C113" i="5"/>
  <c r="C42" i="5"/>
  <c r="C46" i="5"/>
  <c r="C50" i="5"/>
  <c r="C54" i="5"/>
  <c r="C58" i="5"/>
  <c r="C23" i="5"/>
  <c r="C27" i="5"/>
  <c r="C31" i="5"/>
  <c r="C162" i="5"/>
  <c r="C145" i="5"/>
  <c r="C151" i="5"/>
  <c r="C128" i="5"/>
  <c r="C70" i="5"/>
  <c r="C78" i="5"/>
  <c r="C86" i="5"/>
  <c r="C94" i="5"/>
  <c r="C102" i="5"/>
  <c r="C110" i="5"/>
  <c r="C43" i="5"/>
  <c r="C51" i="5"/>
  <c r="C59" i="5"/>
  <c r="C26" i="5"/>
  <c r="C149" i="5"/>
  <c r="C130" i="5"/>
  <c r="C76" i="5"/>
  <c r="C84" i="5"/>
  <c r="C92" i="5"/>
  <c r="C100" i="5"/>
  <c r="C108" i="5"/>
  <c r="C41" i="5"/>
  <c r="C49" i="5"/>
  <c r="C57" i="5"/>
  <c r="C28" i="5"/>
  <c r="C163" i="5"/>
  <c r="C144" i="5"/>
  <c r="C148" i="5"/>
  <c r="C152" i="5"/>
  <c r="C127" i="5"/>
  <c r="C131" i="5"/>
  <c r="C71" i="5"/>
  <c r="C75" i="5"/>
  <c r="C79" i="5"/>
  <c r="C83" i="5"/>
  <c r="C87" i="5"/>
  <c r="C91" i="5"/>
  <c r="C95" i="5"/>
  <c r="C99" i="5"/>
  <c r="C103" i="5"/>
  <c r="C107" i="5"/>
  <c r="C111" i="5"/>
  <c r="C40" i="5"/>
  <c r="C44" i="5"/>
  <c r="C48" i="5"/>
  <c r="C52" i="5"/>
  <c r="C56" i="5"/>
  <c r="C21" i="5"/>
  <c r="C25" i="5"/>
  <c r="C29" i="5"/>
  <c r="C33" i="5"/>
  <c r="C143" i="5"/>
  <c r="C147" i="5"/>
  <c r="C124" i="5"/>
  <c r="C132" i="5"/>
  <c r="C74" i="5"/>
  <c r="C82" i="5"/>
  <c r="C90" i="5"/>
  <c r="C98" i="5"/>
  <c r="C106" i="5"/>
  <c r="C114" i="5"/>
  <c r="C47" i="5"/>
  <c r="C55" i="5"/>
  <c r="C24" i="5"/>
  <c r="C30" i="5"/>
</calcChain>
</file>

<file path=xl/comments1.xml><?xml version="1.0" encoding="utf-8"?>
<comments xmlns="http://schemas.openxmlformats.org/spreadsheetml/2006/main">
  <authors>
    <author>&lt;&gt;</author>
    <author>1</author>
    <author>Proba</author>
    <author>wall</author>
    <author>Rus</author>
    <author>Alex</author>
    <author>YuKazaeva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стройки&gt;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240 значение&gt;
&lt;подпись 240 атрибут 800 значение&gt;
ИНН/КПП &lt;подпись 240 атрибут 830 значение&gt;/&lt;подпись 240 атрибут 840 значение&gt;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4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&lt;Индекс/ЛН локальной сметы&gt;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&lt;подпись 230 значение&gt;
&lt;подпись 230 атрибут 800 значение&gt;
ИНН/КПП &lt;подпись 230 атрибут 830 значение&gt;/&lt;подпись 230 атрибут 840 значение&gt;</t>
        </r>
      </text>
    </comment>
    <comment ref="D7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&lt;Наименование локальной сметы&gt;, &lt;Наименование объекта&gt;</t>
        </r>
      </text>
    </comment>
    <comment ref="A10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&lt;Основание&gt;
</t>
        </r>
      </text>
    </comment>
    <comment ref="C11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по расчету&gt;</t>
        </r>
      </text>
    </comment>
    <comment ref="D12" authorId="3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&lt;Итого ФОТ&gt;</t>
        </r>
      </text>
    </comment>
    <comment ref="A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 &lt;Номер позиции по смете&gt;</t>
        </r>
      </text>
    </comment>
    <comment ref="B19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ПЗ=&lt;К-т к позиции на прямые затраты&gt;
ОЗП=&lt;К-т к позиции на основную з/п&gt;
ЭМ=&lt;К-т к позиции на эксплуатацию машин&gt;
ЗПМ=&lt;К-т к позиции на з/п машинистов&gt;
МАТ=&lt;К-т к позиции на материалы&gt;
ТЗ=&lt;К-т к позиции на трудозатраты рабочих&gt;
ТЗМ=&lt;К-т к позиции на трудозатраты механизаторов&gt;
&lt;Примечание&gt;</t>
        </r>
      </text>
    </comment>
    <comment ref="C19" authorId="0" shapeId="0">
      <text>
        <r>
          <rPr>
            <sz val="14"/>
            <color indexed="81"/>
            <rFont val="Tahoma"/>
            <family val="2"/>
            <charset val="204"/>
          </rPr>
          <t xml:space="preserve"> =INDIRECT("</t>
        </r>
        <r>
          <rPr>
            <b/>
            <sz val="14"/>
            <color indexed="81"/>
            <rFont val="Tahoma"/>
            <family val="2"/>
            <charset val="204"/>
          </rPr>
          <t>AF</t>
        </r>
        <r>
          <rPr>
            <sz val="14"/>
            <color indexed="81"/>
            <rFont val="Tahoma"/>
            <family val="2"/>
            <charset val="204"/>
          </rPr>
          <t>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руб.)")&amp;Char(10)&amp;Char(10)&lt;Пустой идентификатор&gt;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&lt;Количество всего (физ. объем) по позиции&gt;
&lt;Формула расчета физ. объема&gt;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&lt;ПЗ по позиции на единицу в базисных ценах с учетом всех к-тов&gt;</t>
        </r>
        <r>
          <rPr>
            <b/>
            <sz val="8"/>
            <color indexed="81"/>
            <rFont val="Tahoma"/>
            <family val="2"/>
            <charset val="204"/>
          </rPr>
          <t xml:space="preserve">
&lt;ОЗП по позиции на единицу в базисных ценах с учетом всех к-тов&gt;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 по позиции на единицу в базисных ценах с учетом всех к-тов&gt;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H19" authorId="4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</t>
        </r>
      </text>
    </comment>
    <comment ref="I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&lt;Общая стоимость ПЗ по позиции для БИМ до начисления НР и СП&gt;
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ОЗП по позиции для БИМ до начисления НР и СП&gt;
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L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M19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&lt;ТЗ по позиции на единицу&gt;
&lt;ТЗМ по позиции на единицу&gt;</t>
        </r>
      </text>
    </comment>
    <comment ref="N19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&lt;ТЗ по позиции всего&gt;
&lt;ТЗМ по позиции всего&gt;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A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НР для БИМ&gt;</t>
        </r>
      </text>
    </comment>
    <comment ref="AB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&lt;Строка задания СП для БИМ&gt;</t>
        </r>
      </text>
    </comment>
    <comment ref="AC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НР по позиции для БИМ&gt;</t>
        </r>
      </text>
    </comment>
    <comment ref="AD19" authorId="5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&lt;Сумма СП по позиции для БИМ&gt;</t>
        </r>
      </text>
    </comment>
    <comment ref="AE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F19" authorId="6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G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H19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I19" authorId="1" shapeId="0">
      <text>
        <r>
          <rPr>
            <sz val="8"/>
            <color indexed="81"/>
            <rFont val="Tahoma"/>
            <family val="2"/>
            <charset val="204"/>
          </rPr>
          <t xml:space="preserve"> =&lt;Общая стоимость ОЗП по позиции для БИМ до начисления НР и СП&gt;+&lt;Общая стоимость ЗПМ по позиции для БИМ до начисления НР и СП&gt;
</t>
        </r>
      </text>
    </comment>
    <comment ref="A16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&lt;Текстовая часть (итоги)&gt;</t>
        </r>
      </text>
    </comment>
    <comment ref="I16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&lt;Прямые затраты (итоги)&gt;</t>
        </r>
      </text>
    </comment>
    <comment ref="J16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&lt;З/п основных рабочих (итоги)&gt;</t>
        </r>
      </text>
    </comment>
    <comment ref="K16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&lt;Эксплуатация машин (итоги)&gt;
&lt;З/п машинистов (итоги)&gt;</t>
        </r>
      </text>
    </comment>
    <comment ref="L16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&lt;Материалы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N168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______________&lt;Составил&gt;</t>
        </r>
      </text>
    </comment>
    <comment ref="F19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 ______________&lt;Проверил&gt;</t>
        </r>
      </text>
    </comment>
  </commentList>
</comments>
</file>

<file path=xl/sharedStrings.xml><?xml version="1.0" encoding="utf-8"?>
<sst xmlns="http://schemas.openxmlformats.org/spreadsheetml/2006/main" count="859" uniqueCount="552">
  <si>
    <t>Заказчик</t>
  </si>
  <si>
    <t>(наименование стройки)</t>
  </si>
  <si>
    <t>(локальная смета)</t>
  </si>
  <si>
    <t>№ пп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</si>
  <si>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</si>
  <si>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</si>
  <si>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</si>
  <si>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</si>
  <si>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</si>
  <si>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</si>
  <si>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</si>
  <si>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</si>
  <si>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</si>
  <si>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</si>
  <si>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</si>
  <si>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</si>
  <si>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</si>
  <si>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</si>
  <si>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</si>
  <si>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</si>
  <si>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</si>
  <si>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</si>
  <si>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единица измерения</t>
  </si>
  <si>
    <r>
      <t xml:space="preserve">Стоимость единицы                                        </t>
    </r>
    <r>
      <rPr>
        <i/>
        <sz val="10"/>
        <rFont val="Times New Roman"/>
        <family val="1"/>
        <charset val="204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</si>
  <si>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10"/>
        <rFont val="Times New Roman"/>
        <family val="1"/>
        <charset val="204"/>
      </rPr>
      <t>(в текущем уровне цен)</t>
    </r>
  </si>
  <si>
    <t xml:space="preserve">
ИНН/КПП /</t>
  </si>
  <si>
    <t>ЛОКАЛЬНЫЙ СМЕТНЫЙ РАСЧЕТ №  02-01-01</t>
  </si>
  <si>
    <t>Основание:  проект П-15-23-2-АС</t>
  </si>
  <si>
    <t>Проверил:____________________________</t>
  </si>
  <si>
    <t xml:space="preserve">                           Раздел 1. Демонтажные работы</t>
  </si>
  <si>
    <t>ФЕР46-04-008-04</t>
  </si>
  <si>
    <t>154,66
124,02</t>
  </si>
  <si>
    <t>46.70 Разборка покрытий кровель: ОЗП=16,45; ЭМ=2,99; ЗПМ=16,45</t>
  </si>
  <si>
    <t>НР 84%=110%*(0,85*0,9) от ФОТ</t>
  </si>
  <si>
    <t>СП 48%=70%*(0,8*0,85) от ФОТ</t>
  </si>
  <si>
    <t>Разборка покрытий кровель: из волнистых и полуволнистых асбестоцементных листов</t>
  </si>
  <si>
    <t>100 м2 покрытия</t>
  </si>
  <si>
    <t>ФЕРр58-3-1</t>
  </si>
  <si>
    <t>1,9792
1,6792+0,3</t>
  </si>
  <si>
    <t>71,18
70,98</t>
  </si>
  <si>
    <t>84.3 Разборка мелких покрытий и обделок из листовой стали: ОЗП=16,45; ЭМ=4,75; ЗПМ=16,45</t>
  </si>
  <si>
    <t>НР 71%=83%*0,85 от ФОТ</t>
  </si>
  <si>
    <t>СП 52%=65%*0,8 от ФОТ</t>
  </si>
  <si>
    <t>Разборка мелких покрытий и обделок из листовой стали: поясков, сандриков, желобов, отливов, свесов и т.п.</t>
  </si>
  <si>
    <t>100 м труб и покрытий</t>
  </si>
  <si>
    <t>ФЕРр58-2-2</t>
  </si>
  <si>
    <t>2466,21
2455,84</t>
  </si>
  <si>
    <t>84.2 Разборка слуховых окон: ОЗП=16,45; ЭМ=4,64; ЗПМ=16,45</t>
  </si>
  <si>
    <t>Разборка слуховых окон: прямоугольных односкатных</t>
  </si>
  <si>
    <t>100 окон</t>
  </si>
  <si>
    <t>ФЕРр58-1-1</t>
  </si>
  <si>
    <t>160,11
120,37</t>
  </si>
  <si>
    <t>39,74
6,21</t>
  </si>
  <si>
    <t>84.1 Разборка деревянных элементов конструкций крыш: ОЗП=16,45; ЭМ=12,02; ЗПМ=16,45</t>
  </si>
  <si>
    <t>5541
1184</t>
  </si>
  <si>
    <t>15,16
0,46</t>
  </si>
  <si>
    <t>175,86
5,34</t>
  </si>
  <si>
    <t>Разборка деревянных элементов конструкций крыш: обрешетки из брусков с прозорами</t>
  </si>
  <si>
    <t>100 м2 кровли</t>
  </si>
  <si>
    <t>ФЕРр58-1-2</t>
  </si>
  <si>
    <t>208,54
183,48</t>
  </si>
  <si>
    <t>25,06
3,92</t>
  </si>
  <si>
    <t>3498
740</t>
  </si>
  <si>
    <t>22,68
0,29</t>
  </si>
  <si>
    <t>263,09
3,36</t>
  </si>
  <si>
    <t>Разборка деревянных элементов конструкций крыш: стропил со стойками и подкосами из досок</t>
  </si>
  <si>
    <t>ФЕРр58-1-4</t>
  </si>
  <si>
    <t>76,77
53,44</t>
  </si>
  <si>
    <t>23,33
3,65</t>
  </si>
  <si>
    <t>3257
691</t>
  </si>
  <si>
    <t>6,73
0,27</t>
  </si>
  <si>
    <t>78,07
3,13</t>
  </si>
  <si>
    <t>Разборка деревянных элементов конструкций крыш: мауэрлатов</t>
  </si>
  <si>
    <t>ФЕР12-01-012-01
ОЗП=0,7
ЭМ=0,7
ЗПМ=0,7
МАТ=0
ТЗ=0,7
ТЗМ=0,7</t>
  </si>
  <si>
    <t>80,14
41,37</t>
  </si>
  <si>
    <t>38,77
2,74</t>
  </si>
  <si>
    <t>12.29. Ограждение кровель перилами: ОЗП=16,45; ЭМ=9,92; ЗПМ=16,45; МАТ=7,67</t>
  </si>
  <si>
    <t>655
82</t>
  </si>
  <si>
    <t>4,67
0,2</t>
  </si>
  <si>
    <t>7,94
0,34</t>
  </si>
  <si>
    <t>НР 92%=120%*(0,85*0,9) от ФОТ</t>
  </si>
  <si>
    <t>СП 44%=65%*(0,8*0,85) от ФОТ</t>
  </si>
  <si>
    <t>КОЭФ. К ПОЗИЦИИ:
Демонтаж (разборка) металлических конструкций ОЗП=0,7; ЭМ=0,7 к расх.; ЗПМ=0,7; МАТ=0 к расх.; ТЗ=0,7; ТЗМ=0,7</t>
  </si>
  <si>
    <t>Демонтаж ограждения кровель перилами</t>
  </si>
  <si>
    <t>100 м ограждения</t>
  </si>
  <si>
    <t>ФЕР46-04-008-01</t>
  </si>
  <si>
    <t>153,59
112,16</t>
  </si>
  <si>
    <t>Разборка покрытий кровель: из рулонных материалов</t>
  </si>
  <si>
    <t>ФЕР46-04-001-04</t>
  </si>
  <si>
    <t>180,03
73,01</t>
  </si>
  <si>
    <t>107,02
11,57</t>
  </si>
  <si>
    <t>46.59 Разборка: кирпичных и мелкоблочных стен: ОЗП=16,45; ЭМ=7,36; ЗПМ=16,45</t>
  </si>
  <si>
    <t>9826
2369</t>
  </si>
  <si>
    <t>8,24
1,15</t>
  </si>
  <si>
    <t>102,75
14,34</t>
  </si>
  <si>
    <t>Разборка: кирпичных стен</t>
  </si>
  <si>
    <t>1 м3</t>
  </si>
  <si>
    <t>ФЕРр69-15-1</t>
  </si>
  <si>
    <t>141,732
236,22*0,6</t>
  </si>
  <si>
    <t>23,81
7,41</t>
  </si>
  <si>
    <t>94.26 Затаривание строительного мусора в мешки: ОЗП=16,45; МАТ=7,38</t>
  </si>
  <si>
    <t>НР 66%=78%*0,85 от ФОТ</t>
  </si>
  <si>
    <t>СП 40%=50%*0,8 от ФОТ</t>
  </si>
  <si>
    <t>Затаривание строительного мусора в мешки Шлак</t>
  </si>
  <si>
    <t>1 т</t>
  </si>
  <si>
    <t>ФЕРр65-2-3</t>
  </si>
  <si>
    <t>958,29
943,29</t>
  </si>
  <si>
    <t>15
6,48</t>
  </si>
  <si>
    <t>90.2 Разборка трубопроводов из чугунных канализационных труб: ОЗП=16,45; ЭМ=7,19; ЗПМ=16,45</t>
  </si>
  <si>
    <t>50
49</t>
  </si>
  <si>
    <t>111,5
0,48</t>
  </si>
  <si>
    <t>52,13
0,22</t>
  </si>
  <si>
    <t>НР 63%=74%*0,85 от ФОТ</t>
  </si>
  <si>
    <t>Разборка трубопроводов из чугунных канализационных труб диаметром: 150 мм</t>
  </si>
  <si>
    <t>100 м трубопровода с фасонными частями</t>
  </si>
  <si>
    <t>ФЕР16-04-001-02
ОЗП=0,4
ЭМ=0,4
ЗПМ=0,4
МАТ=0
ТЗ=0,4
ТЗМ=0,4</t>
  </si>
  <si>
    <t>247,06
244,43</t>
  </si>
  <si>
    <t>2,63
0,27</t>
  </si>
  <si>
    <t>16.103 Прокладка трубопроводов канализации из полиэтиленовых труб высокой плотности диаметром: 100 мм: ОЗП=16,45; ЭМ=11,41; ЗПМ=16,45; МАТ=3,14</t>
  </si>
  <si>
    <t>24,64
0,02</t>
  </si>
  <si>
    <t>НР 98%=128%*(0,85*0,9) от ФОТ</t>
  </si>
  <si>
    <t>СП 56%=83%*(0,8*0,85) от ФОТ</t>
  </si>
  <si>
    <t>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</t>
  </si>
  <si>
    <t>Разборка трубопроводов канализации из полиэтиленовых труб высокой плотности диаметром: 110 мм</t>
  </si>
  <si>
    <t>100 м трубопровода</t>
  </si>
  <si>
    <t>ФЕРр65-35-1</t>
  </si>
  <si>
    <t>189,06
159,51</t>
  </si>
  <si>
    <t>0,31
0,14</t>
  </si>
  <si>
    <t>90.114 Прочистка вентиляционных каналов: ОЗП=16,45; ЭМ=7,26; ЗПМ=16,45; МАТ=8,9</t>
  </si>
  <si>
    <t>18,7
0,01</t>
  </si>
  <si>
    <t>35,9
0,02</t>
  </si>
  <si>
    <t>Прочистка вентиляционных каналов</t>
  </si>
  <si>
    <t>100 м канала</t>
  </si>
  <si>
    <t>Итого прямые затраты по разделу в ценах 2001г.</t>
  </si>
  <si>
    <t>2815
311</t>
  </si>
  <si>
    <t>1077,89
26,75</t>
  </si>
  <si>
    <t>Итого прямые затраты по разделу с учетом индексов, в текущих ценах</t>
  </si>
  <si>
    <t>23980
5115</t>
  </si>
  <si>
    <t>Накладные расходы</t>
  </si>
  <si>
    <t>Сметная прибыль</t>
  </si>
  <si>
    <t>Итого по разделу 1 Демонтажные работы</t>
  </si>
  <si>
    <t xml:space="preserve">                           Раздел 2. Чердак</t>
  </si>
  <si>
    <t>ФЕР08-02-003-03</t>
  </si>
  <si>
    <t>933,48
74,54</t>
  </si>
  <si>
    <t>36,29
5,67</t>
  </si>
  <si>
    <t>8.17. Кладка из кирпича конструкций: ОЗП=16,45; ЭМ=11,97; ЗПМ=16,45; МАТ=4,63</t>
  </si>
  <si>
    <t>4764
1036</t>
  </si>
  <si>
    <t>7,93
0,42</t>
  </si>
  <si>
    <t>69,55
3,68</t>
  </si>
  <si>
    <t>НР 93%=122%*(0,85*0,9) от ФОТ</t>
  </si>
  <si>
    <t>СП 54%=80%*(0,8*0,85) от ФОТ</t>
  </si>
  <si>
    <t>Кладка из кирпича: столбов прямоугольных неармированных при высоте этажа до 4 м</t>
  </si>
  <si>
    <t>1 м3 кладки</t>
  </si>
  <si>
    <t>ФЕРр58-13-1</t>
  </si>
  <si>
    <t>924,81
36,25</t>
  </si>
  <si>
    <t>84.34 Устройство покрытия из рулонных материалов: насухо без промазки кромок: ОЗП=16,45; ЭМ=11,42; ЗПМ=16,45; МАТ=5</t>
  </si>
  <si>
    <t>Устройство покрытия из рулонных материалов: насухо без промазки кромок</t>
  </si>
  <si>
    <t>ФССЦ-101-0852</t>
  </si>
  <si>
    <t>Рубероид кровельный с крупнозернистой посыпкой марки: РКК-350б; МАТ=4,999</t>
  </si>
  <si>
    <t>Рубероид кровельный с крупнозернистой посыпкой марки: РКК-350б</t>
  </si>
  <si>
    <t>м2</t>
  </si>
  <si>
    <t>ФССЦ-104-9221-90002</t>
  </si>
  <si>
    <t>Индекс на материалы; МАТ=5,58</t>
  </si>
  <si>
    <t>Изоспан: Двухслойная паропроницаемая мембрана марки В 13,60/5,58=2,44</t>
  </si>
  <si>
    <t>ФЕР12-01-013-03
МАТ=0</t>
  </si>
  <si>
    <t>565,34
433,09</t>
  </si>
  <si>
    <t>132,25
7,43</t>
  </si>
  <si>
    <t>12.31. Утепление покрытий плитами: из минеральной ваты или перлита на битумной мастике: ОЗП=16,45; ЭМ=9,01; ЗПМ=16,45; МАТ=6,8</t>
  </si>
  <si>
    <t>11722
1217</t>
  </si>
  <si>
    <t>45,54
0,55</t>
  </si>
  <si>
    <t>358,59
4,33</t>
  </si>
  <si>
    <t>КОЭФ. К ПОЗИЦИИ:
материалы МАТ=0 к расх.</t>
  </si>
  <si>
    <t>Утепление покрытий плитами: из минеральной ваты или перлита на битумной мастике в один слой</t>
  </si>
  <si>
    <t>100 м2 утепляемого покрытия</t>
  </si>
  <si>
    <t>ФСЭМ-121011</t>
  </si>
  <si>
    <t>Котлы битумные передвижные 400 л; ЭМ=5,43</t>
  </si>
  <si>
    <t>НР 0% от ФОТ</t>
  </si>
  <si>
    <t>СП 0% от ФОТ</t>
  </si>
  <si>
    <t>Котлы битумные передвижные 400 л</t>
  </si>
  <si>
    <t>маш.-ч</t>
  </si>
  <si>
    <t>ФЕР12-01-013-04
ПЗ=4
ОЗП=4
ЭМ=4
ЗПМ=4
МАТ=4*0
ТЗ=4
ТЗМ=4</t>
  </si>
  <si>
    <t>1847,48
1341,28</t>
  </si>
  <si>
    <t>506,2
29,72</t>
  </si>
  <si>
    <t>44897
4820</t>
  </si>
  <si>
    <t>141,04
2,2</t>
  </si>
  <si>
    <t>1110,56
17,32</t>
  </si>
  <si>
    <t>КОЭФ. К ПОЗИЦИИ:
Всего толщ. 250 мм ПЗ=4 (ОЗП=4; ЭМ=4 к расх.; ЗПМ=4; МАТ=4 к расх.; ТЗ=4; ТЗМ=4);
материалы МАТ=0 к расх.</t>
  </si>
  <si>
    <t>Утепление покрытий плитами: на каждый последующий слой добавлять к расценке 12-01-013-03</t>
  </si>
  <si>
    <t>ФЕР12-01-013-04
ПЗ=2
ОЗП=2
ЭМ=2
ЗПМ=2
МАТ=2*0
ТЗ=2
ТЗМ=2</t>
  </si>
  <si>
    <t>923,74
670,64</t>
  </si>
  <si>
    <t>253,1
14,86</t>
  </si>
  <si>
    <t>4505
477</t>
  </si>
  <si>
    <t>70,52
1,1</t>
  </si>
  <si>
    <t>111,42
1,74</t>
  </si>
  <si>
    <t>КОЭФ. К ПОЗИЦИИ:
В 2 слоя ПЗ=2 (ОЗП=2; ЭМ=2 к расх.; ЗПМ=2; МАТ=2 к расх.; ТЗ=2; ТЗМ=2);
материалы МАТ=0 к расх.</t>
  </si>
  <si>
    <t>ФССЦ-104-9100-91004</t>
  </si>
  <si>
    <t>219,0295
(196,85+15,8)*1,03</t>
  </si>
  <si>
    <t>Плиты теплоизоляционные энергетические гидрофобизированные базальтовые: ПТЭ-125 , размером 2000х1000х50 мм 3828,81/5,58=686,17</t>
  </si>
  <si>
    <t>м3</t>
  </si>
  <si>
    <t>ФССЦ-104-9221-90001</t>
  </si>
  <si>
    <t>Изоспан: Защитный материал марки А 19,42/5,58=3,48</t>
  </si>
  <si>
    <t>ФЕР10-01-023-01</t>
  </si>
  <si>
    <t>1051,44
31,84</t>
  </si>
  <si>
    <t>12,45
1,08</t>
  </si>
  <si>
    <t>10.54. Укладка ходовых досок: ОЗП=16,45; ЭМ=10,88; ЗПМ=16,45; МАТ=5,34</t>
  </si>
  <si>
    <t>359
49</t>
  </si>
  <si>
    <t>3,8
0,08</t>
  </si>
  <si>
    <t>7,79
0,16</t>
  </si>
  <si>
    <t>НР 90%=118%*(0,85*0,9) от ФОТ</t>
  </si>
  <si>
    <t>СП 43%=63%*(0,8*0,85) от ФОТ</t>
  </si>
  <si>
    <t>Укладка ходовых досок</t>
  </si>
  <si>
    <t>100 м ходов</t>
  </si>
  <si>
    <t>ФССЦ-102-0077</t>
  </si>
  <si>
    <t>Доски необрезные хвойных пород длиной: 4-6,5 м, все ширины, толщиной 32-40 мм, III сорта; МАТ=5,359</t>
  </si>
  <si>
    <t>Доски необрезные хвойных пород длиной: 4-6,5 м, все ширины, толщиной 32-40 мм, III сорта</t>
  </si>
  <si>
    <t>ФССЦ-102-0060</t>
  </si>
  <si>
    <t>Доски обрезные хвойных пород длиной 4-6,5 м, шириной 75-150 мм, толщиной 44 мм и более, II сорта; МАТ=4,156</t>
  </si>
  <si>
    <t>Доски обрезные хвойных пород длиной: 4-6,5 м, шириной 75-150 мм, толщиной 44 мм и более, II сорта</t>
  </si>
  <si>
    <t>ФЕР10-01-010-01
прим. лесница к слуховым окнам</t>
  </si>
  <si>
    <t>2411,06
188,55</t>
  </si>
  <si>
    <t>10.18. Установка деревянных элементов каркаса: ОЗП=16,45; ЭМ=11,08; ЗПМ=16,45; МАТ=3,37</t>
  </si>
  <si>
    <t>Установка элементов каркаса: из брусьев</t>
  </si>
  <si>
    <t>1 м3 древесины в конструкции</t>
  </si>
  <si>
    <t>ФЕР09-04-013-01</t>
  </si>
  <si>
    <t>91,99
21,13</t>
  </si>
  <si>
    <t>9.67 Установка противопожарных дверей: ОЗП=16,45; ЭМ=6,36; ЗПМ=16,45; МАТ=4,87</t>
  </si>
  <si>
    <t>НР 69%=90%*(0,85*0,9) от ФОТ</t>
  </si>
  <si>
    <t>СП 58%=85%*(0,8*0,85) от ФОТ</t>
  </si>
  <si>
    <t>Установка противопожарных дверей: однопольных глухих</t>
  </si>
  <si>
    <t>1 м2 проема</t>
  </si>
  <si>
    <t>ФССЦ-301-0271-00023
применительно</t>
  </si>
  <si>
    <t>Люки противопожарные: ЛПМ 01/60, 800х800 мм 7790,05/5,58=1396,07</t>
  </si>
  <si>
    <t>шт.</t>
  </si>
  <si>
    <t>3728
368</t>
  </si>
  <si>
    <t>1741,31
27,23</t>
  </si>
  <si>
    <t>Итого прямые затраты по разделу с учетом коэффициентов к итогам</t>
  </si>
  <si>
    <t>4638
461</t>
  </si>
  <si>
    <t>1990,74
34,04</t>
  </si>
  <si>
    <t xml:space="preserve">  В том числе, справочно: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</si>
  <si>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ЭМ-ЗПМ=1,25; ЗПМ=1,25; ТЗ=1,15; ТЗМ=1,25  (Поз. 14, 18, 20, 22, 19, 21, 23, 28, 31-32)</t>
  </si>
  <si>
    <t>909
92</t>
  </si>
  <si>
    <t>249,4215
6,8075</t>
  </si>
  <si>
    <t>52836
7582</t>
  </si>
  <si>
    <t>Итого по разделу 2 Чердак</t>
  </si>
  <si>
    <t xml:space="preserve">                           Раздел 3. Кровля</t>
  </si>
  <si>
    <t>ФЕР10-01-002-01</t>
  </si>
  <si>
    <t>2300,67
200,19</t>
  </si>
  <si>
    <t>38,22
2,03</t>
  </si>
  <si>
    <t>10.4. Установка стропил: ОЗП=16,45; ЭМ=10,79; ЗПМ=16,45; МАТ=3,71</t>
  </si>
  <si>
    <t>20706
1694</t>
  </si>
  <si>
    <t>24,09
0,15</t>
  </si>
  <si>
    <t>967,74
6,03</t>
  </si>
  <si>
    <t>Установка стропил</t>
  </si>
  <si>
    <t>ФЕРр58-12-1</t>
  </si>
  <si>
    <t>3,4161
5,4861-2,07</t>
  </si>
  <si>
    <t>2492,19
252,73</t>
  </si>
  <si>
    <t>40,78
5,94</t>
  </si>
  <si>
    <t>84.30 Устройство обрешетки сплошной из досок: ОЗП=16,45; ЭМ=10; ЗПМ=16,45; МАТ=5,51</t>
  </si>
  <si>
    <t>1390
329</t>
  </si>
  <si>
    <t>31,83
0,44</t>
  </si>
  <si>
    <t>108,73
1,5</t>
  </si>
  <si>
    <t>Устройство обрешетки сплошной из досок</t>
  </si>
  <si>
    <t>100 м2</t>
  </si>
  <si>
    <t>ФССЦ-102-0073</t>
  </si>
  <si>
    <t>Доски необрезные хвойных пород длиной: 4-6,5 м, все ширины, толщиной 25 мм, III сорта; МАТ=5,635</t>
  </si>
  <si>
    <t>Доски необрезные хвойных пород длиной: 4-6,5 м, все ширины, толщиной 25 мм, III сорта</t>
  </si>
  <si>
    <t>ФЕРр58-12-2</t>
  </si>
  <si>
    <t>1766,82
169,52</t>
  </si>
  <si>
    <t>26,57
4,32</t>
  </si>
  <si>
    <t>84.31 Устройство обрешетки с прозорами из досок и брусков под кровлю: из листовой стали: ОЗП=16,45; ЭМ=9,83; ЗПМ=16,45; МАТ=5,25</t>
  </si>
  <si>
    <t>1622
444</t>
  </si>
  <si>
    <t>21,35
0,32</t>
  </si>
  <si>
    <t>132,52
1,99</t>
  </si>
  <si>
    <t>Устройство обрешетки с прозорами из досок и брусков под кровлю: из листовой стали</t>
  </si>
  <si>
    <t>ФССЦ-104-9221-90004</t>
  </si>
  <si>
    <t>Изоспан: Защитный материал марки D  18,31/5,58=3,28</t>
  </si>
  <si>
    <t>ФЕР10-01-003-01</t>
  </si>
  <si>
    <t>378,81
56,55</t>
  </si>
  <si>
    <t>22,06
1,49</t>
  </si>
  <si>
    <t>10.5. Устройство слуховых окон: ОЗП=16,45; ЭМ=10,98; ЗПМ=16,45; МАТ=5,3</t>
  </si>
  <si>
    <t>1208
132</t>
  </si>
  <si>
    <t>6,63
0,11</t>
  </si>
  <si>
    <t>26,52
0,44</t>
  </si>
  <si>
    <t>Устройство слуховых окон</t>
  </si>
  <si>
    <t>1 слуховое окно</t>
  </si>
  <si>
    <t>ФССЦ-101-2007</t>
  </si>
  <si>
    <t>Петли форточные накладные размером 70x55 мм; МАТ=2,337</t>
  </si>
  <si>
    <t>Петли форточные накладные размером 70х55 мм</t>
  </si>
  <si>
    <t>компл.</t>
  </si>
  <si>
    <t>ФССЦ-101-2001</t>
  </si>
  <si>
    <t>Шпингалеты дверные размером 230x26 мм, оцинкованные или окрашенные; МАТ=1,941</t>
  </si>
  <si>
    <t>Шпингалеты дверные размером 230х26 мм, оцинкованные или окрашенные</t>
  </si>
  <si>
    <t>ФЕР10-01-091-01</t>
  </si>
  <si>
    <t>263,84
47,94</t>
  </si>
  <si>
    <t>39,73
0,46</t>
  </si>
  <si>
    <t>10.149 Антисептическая обработка деревянных конструкций составом 'Пирилакс': ОЗП=16,45; ЭМ=11,17; ЗПМ=16,45; МАТ=10,78</t>
  </si>
  <si>
    <t>26573
461</t>
  </si>
  <si>
    <t>5,1
0,04</t>
  </si>
  <si>
    <t>244,24
1,92</t>
  </si>
  <si>
    <t>Антисептическая обработка деревянных конструкций составом "Пирилакс" при помощи аппарата аэрозольно-капельного распыления</t>
  </si>
  <si>
    <t>100 м2 обрабатываемой поверхности</t>
  </si>
  <si>
    <t>ФЕР12-01-023-02</t>
  </si>
  <si>
    <t>14,4131
11,02+3,3931</t>
  </si>
  <si>
    <t>10417,47
356,23</t>
  </si>
  <si>
    <t>115,24
10,67</t>
  </si>
  <si>
    <t>12.51. Устройство кровли из металлочерепицы (с отделочным покрытием): ОЗП=16,45; ЭМ=11,1; ЗПМ=16,45; МАТ=3,6</t>
  </si>
  <si>
    <t>23044
3175</t>
  </si>
  <si>
    <t>41,23
0,79</t>
  </si>
  <si>
    <t>594,25
11,39</t>
  </si>
  <si>
    <t>Устройство кровли из металлочерепицы по готовым прогонам: средней сложности</t>
  </si>
  <si>
    <t>ФССЦ-101-4136</t>
  </si>
  <si>
    <t>Металлочерепица «Монтеррей»; МАТ=3,818</t>
  </si>
  <si>
    <t>Металлочерепица «Монтеррей»</t>
  </si>
  <si>
    <t>ФССЦ-101-3845</t>
  </si>
  <si>
    <t>10,06126
1102*8,3*1,1/1000</t>
  </si>
  <si>
    <t>Профилированный лист оцинкованный: НС44-1000-0,7; МАТ=4,286</t>
  </si>
  <si>
    <t>Профилированный лист оцинкованный: НС44-1000-0,7</t>
  </si>
  <si>
    <t>т</t>
  </si>
  <si>
    <t>ФССЦ-101-3741</t>
  </si>
  <si>
    <t>Сталь листовая оцинкованная толщиной листа: 0,55 мм; МАТ=3,919</t>
  </si>
  <si>
    <t>Сталь листовая оцинкованная толщиной листа: 0,55 мм</t>
  </si>
  <si>
    <t>ФССЦ-101-4128
применительно</t>
  </si>
  <si>
    <t>Дополнительные элементы металлочерепичной кровли: заглушка коньковая из оцинкованной стали; МАТ=4,949</t>
  </si>
  <si>
    <t>Дополнительные элементы металлочерепичной кровли: коньковый элемент, разжелобки, профили с покрытием</t>
  </si>
  <si>
    <t>ФЕР09-05-006-01</t>
  </si>
  <si>
    <t>3,6
3,05</t>
  </si>
  <si>
    <t>9.74 Резка стального профилированного настила: ОЗП=16,45; ЭМ=2,22; ЗПМ=16,45</t>
  </si>
  <si>
    <t>Резка стального профилированного настила</t>
  </si>
  <si>
    <t>1 м реза</t>
  </si>
  <si>
    <t>ФЕР12-01-009-01</t>
  </si>
  <si>
    <t>18952,69
722,92</t>
  </si>
  <si>
    <t>296,15
28,49</t>
  </si>
  <si>
    <t>12.26. Устройство желобов: ОЗП=16,45; ЭМ=11,44; ЗПМ=16,45; МАТ=4,06</t>
  </si>
  <si>
    <t>7390
1036</t>
  </si>
  <si>
    <t>84,75
2,11</t>
  </si>
  <si>
    <t>148,01
3,68</t>
  </si>
  <si>
    <t>Устройство желобов: настенных</t>
  </si>
  <si>
    <t>100 м желобов</t>
  </si>
  <si>
    <t>ФССЦ-102-0121</t>
  </si>
  <si>
    <t>Доски обрезные хвойных пород длиной: 2-3,75 м, шириной 75-150 мм, толщиной 44 мм и более, III сорта; МАТ=5,578</t>
  </si>
  <si>
    <t>Доски обрезные хвойных пород длиной: 2-3,75 м, шириной 75-150 мм, толщиной 44 мм и более, III сорта</t>
  </si>
  <si>
    <t>ФССЦ-101-1875</t>
  </si>
  <si>
    <t>Сталь листовая оцинкованная толщиной листа:0,7 мм; МАТ=3,663</t>
  </si>
  <si>
    <t>Сталь листовая оцинкованная толщиной листа: 0,7 мм</t>
  </si>
  <si>
    <t>ФЕР12-01-012-01</t>
  </si>
  <si>
    <t>3147,39
59,1</t>
  </si>
  <si>
    <t>55,38
3,92</t>
  </si>
  <si>
    <t>1171
148</t>
  </si>
  <si>
    <t>6,67
0,29</t>
  </si>
  <si>
    <t>11,37
0,49</t>
  </si>
  <si>
    <t>Ограждение кровель перилами</t>
  </si>
  <si>
    <t>ФССЦ-201-0777</t>
  </si>
  <si>
    <t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</si>
  <si>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</t>
  </si>
  <si>
    <t>1071
132</t>
  </si>
  <si>
    <t>10,41
0,45</t>
  </si>
  <si>
    <t>Снегозадержатели</t>
  </si>
  <si>
    <t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</t>
  </si>
  <si>
    <t>Прайс  МеталлПрофиль</t>
  </si>
  <si>
    <t>Снегозадержатель длиной 3000 мм 1800/1,18/3/5,58=91,12</t>
  </si>
  <si>
    <t>м</t>
  </si>
  <si>
    <t>397
49</t>
  </si>
  <si>
    <t>3,87
0,17</t>
  </si>
  <si>
    <t>Страховочный трос</t>
  </si>
  <si>
    <t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</t>
  </si>
  <si>
    <t>ФССЦ-509-0801</t>
  </si>
  <si>
    <t>Трос стальной; МАТ=6,918</t>
  </si>
  <si>
    <t>Трос стальной</t>
  </si>
  <si>
    <t>ФССЦ-204-0059</t>
  </si>
  <si>
    <t>0,0018
0,00009*20</t>
  </si>
  <si>
    <t>Анкерные детали из прямых или гнутых круглых стержней с резьбой (в комплекте с шайбами и гайками или без них), поставляемые отдельно; МАТ=6,427</t>
  </si>
  <si>
    <t>Анкерные детали из прямых или гнутых круглых стержней с резьбой (в комплекте с шайбами и гайками или без них): поставляемые отдельно</t>
  </si>
  <si>
    <t>159
16</t>
  </si>
  <si>
    <t>1,6
0,07</t>
  </si>
  <si>
    <t>Устройство переходных лестниц  на кровле</t>
  </si>
  <si>
    <t>Лестница кровельная длиной 1860 мм 2200/1,18/1,86/5,58=179,64</t>
  </si>
  <si>
    <t>0,05
0,0125*4</t>
  </si>
  <si>
    <t>0,33
0,01</t>
  </si>
  <si>
    <t>Устройство переходных мостиков  на кровле</t>
  </si>
  <si>
    <t>Прайс  Руффо</t>
  </si>
  <si>
    <t>Переходный мостик 1250 мм 2250/1,18/5,58=341,72</t>
  </si>
  <si>
    <t>шт</t>
  </si>
  <si>
    <t>ФЕРр58-15-1</t>
  </si>
  <si>
    <t>529,88
521,86</t>
  </si>
  <si>
    <t>84.42 Перенавеска водосточных труб: ОЗП=16,45; МАТ=3,39</t>
  </si>
  <si>
    <t>Перенавеска водосточных труб: с земли, лестниц или подмостей</t>
  </si>
  <si>
    <t>100 м труб</t>
  </si>
  <si>
    <t>ФССЦ-201-1101</t>
  </si>
  <si>
    <t>Звенья водосточных труб из оцинкованной стали толщиной 0,55 мм, диаметром 140 мм, марка ТВ-140; МАТ=2,653</t>
  </si>
  <si>
    <t>Звенья водосточных труб из оцинкованной стали толщиной 0,55 мм, диаметром 140 мм, марка ТВ-140</t>
  </si>
  <si>
    <t>ФССЦ-301-1104</t>
  </si>
  <si>
    <t>Воронка водосточная из оцинкованной стали толщиной 0,55 диаметром 215 мм; МАТ=2,998</t>
  </si>
  <si>
    <t>Воронка водосточная из оцинкованной стали толщиной 0,55 диаметром 215 мм</t>
  </si>
  <si>
    <t>ФССЦ-201-1102</t>
  </si>
  <si>
    <t>Колено из оцинкованной стали толщиной 0,55 мм, диаметром 140 мм, марка ТВ-140; МАТ=4,013</t>
  </si>
  <si>
    <t>Колено из оцинкованной стали толщиной 0,55 мм, диаметром 140 мм, марка ТВ-140</t>
  </si>
  <si>
    <t>ФССЦ-201-1103</t>
  </si>
  <si>
    <t>Отливы (отметы) из оцинкованной стали толщиной 0,55 мм диаметром 140 мм; МАТ=3,9</t>
  </si>
  <si>
    <t>Отливы (отметы) из оцинкованной стали толщиной 0,55 мм диаметром 140 мм</t>
  </si>
  <si>
    <t>ФССЦ-101-0782</t>
  </si>
  <si>
    <t>0,1872
1,8*104/1000</t>
  </si>
  <si>
    <t>Поковки из квадратных заготовок, масса: 1,8 кг; МАТ=4,267</t>
  </si>
  <si>
    <t>Поковки из квадратных заготовок, масса 1,8 кг хомуты</t>
  </si>
  <si>
    <t>6337
377</t>
  </si>
  <si>
    <t>2401,82
28,14</t>
  </si>
  <si>
    <t>7830
462</t>
  </si>
  <si>
    <t>2706,75
34,31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</si>
  <si>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ЭМ-ЗПМ=1,25; ЗПМ=1,25; ТЗ=1,15; ТЗМ=1,25  (Поз. 34, 44, 47-48, 54, 59, 61, 64, 68, 71, 53)</t>
  </si>
  <si>
    <t>1493
82</t>
  </si>
  <si>
    <t>304,923
6,1625</t>
  </si>
  <si>
    <t>85568
7600</t>
  </si>
  <si>
    <t>Итого по разделу 3 Кровля</t>
  </si>
  <si>
    <t xml:space="preserve">                           Раздел 4. Вентиляционные шахты</t>
  </si>
  <si>
    <t>ФЕР08-02-001-09</t>
  </si>
  <si>
    <t>913,25
58,83</t>
  </si>
  <si>
    <t>31,1
4,86</t>
  </si>
  <si>
    <t>8.14. Кладка стен из кирпича: ОЗП=16,45; ЭМ=12,02; ЗПМ=16,45; МАТ=4,63</t>
  </si>
  <si>
    <t>1731
378</t>
  </si>
  <si>
    <t>7,08
0,36</t>
  </si>
  <si>
    <t>26,2
1,33</t>
  </si>
  <si>
    <t>Кладка стен приямков и каналов</t>
  </si>
  <si>
    <t>ФЕР10-01-010-01</t>
  </si>
  <si>
    <t>ФЕР26-01-036-01</t>
  </si>
  <si>
    <t>247,16
132,33</t>
  </si>
  <si>
    <t>9,38
0,41</t>
  </si>
  <si>
    <t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</t>
  </si>
  <si>
    <t>16,06
0,03</t>
  </si>
  <si>
    <t>13,33
0,02</t>
  </si>
  <si>
    <t>НР 77%=100%*(0,85*0,9) от ФОТ</t>
  </si>
  <si>
    <t>Изоляция изделиями из волокнистых и зернистых материалов с креплением на клее и дюбелями холодных поверхностей: наружных стен</t>
  </si>
  <si>
    <t>100 м2 поверхности</t>
  </si>
  <si>
    <t>4,2745
4,15*1,03</t>
  </si>
  <si>
    <t>ФЕР26-01-053-01</t>
  </si>
  <si>
    <t>10359,57
1265,72</t>
  </si>
  <si>
    <t>26.69 Покрытие изоляции плоских (криволинейных) поверхностей листовым металлом с заготовкой покрытия: ОЗП=16,45; ЭМ=8; ЗПМ=16,45; МАТ=3,7</t>
  </si>
  <si>
    <t>Покрытие изоляции плоских (криволинейных) поверхностей листовым металлом с заготовкой покрытия</t>
  </si>
  <si>
    <t>100 м2 поверхности покрытия изоляции</t>
  </si>
  <si>
    <t>ФССЦ-101-1876</t>
  </si>
  <si>
    <t>Сталь листовая оцинкованная толщиной листа:0,8 мм; МАТ=3,713</t>
  </si>
  <si>
    <t>Сталь листовая оцинкованная толщиной листа: 0,8 мм</t>
  </si>
  <si>
    <t>ФЕР20-02-010-05</t>
  </si>
  <si>
    <t>30,82
20,11</t>
  </si>
  <si>
    <t>20.25 Установка зонтов над шахтами из листовой и оцинкованной стали: ОЗП=16,45; ЭМ=7,42; ЗПМ=16,45; МАТ=5,89</t>
  </si>
  <si>
    <t>Установка зонтов над шахтами из листовой стали прямоугольного сечения периметром : 2600 мм</t>
  </si>
  <si>
    <t>1 зонт</t>
  </si>
  <si>
    <t>ФССЦ-301-0292</t>
  </si>
  <si>
    <t>Зонты вентиляционных систем из листовой оцинкованной стали, прямоугольные, периметром шахты 2600 мм; МАТ=5,116</t>
  </si>
  <si>
    <t>Зонты вентиляционных систем из листовой оцинкованной стали: прямоугольные, периметром шахты 2600 мм</t>
  </si>
  <si>
    <t>757
18</t>
  </si>
  <si>
    <t>216,17
1,35</t>
  </si>
  <si>
    <t>946
23</t>
  </si>
  <si>
    <t>248,6
1,69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</si>
  <si>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ЭМ-ЗПМ=1,25; ЗПМ=1,25; ТЗ=1,15; ТЗМ=1,25  (Поз. 80-82, 84, 87)</t>
  </si>
  <si>
    <t>189
4</t>
  </si>
  <si>
    <t>32,4255
0,3375</t>
  </si>
  <si>
    <t>8203
378</t>
  </si>
  <si>
    <t>Итого по разделу 4 Вентиляционные шахты</t>
  </si>
  <si>
    <t xml:space="preserve">                           Раздел 5. Утепление фановых труб - 12 шт</t>
  </si>
  <si>
    <t>ФЕР16-04-001-02</t>
  </si>
  <si>
    <t>0,51
0,0425*12</t>
  </si>
  <si>
    <t>7784,49
611,07</t>
  </si>
  <si>
    <t>6,58
0,68</t>
  </si>
  <si>
    <t>61,6
0,05</t>
  </si>
  <si>
    <t>31,42
0,03</t>
  </si>
  <si>
    <t>Прокладка трубопроводов канализации из полиэтиленовых труб высокой плотности диаметром: 110 мм</t>
  </si>
  <si>
    <t>ФЕР26-01-055-02</t>
  </si>
  <si>
    <t>0,16596
0,01383*12</t>
  </si>
  <si>
    <t>1532,98
125,51</t>
  </si>
  <si>
    <t>26.74 Установка пароизоляционного слоя из пленки полиэтиленовой: ОЗП=16,45; ЭМ=11,42; ЗПМ=16,45; МАТ=1,92</t>
  </si>
  <si>
    <t>Установка пароизоляционного слоя из: пленки полиэтиленовой (без стекловолокнистых материалов)</t>
  </si>
  <si>
    <t>ФССЦ-113-1952</t>
  </si>
  <si>
    <t>-19,0896
-1,5908*12</t>
  </si>
  <si>
    <t>Пленка полиэтиленовая толщиной 0,2-0,5 мм, изоловая; МАТ=1,221</t>
  </si>
  <si>
    <t>Пленка полиэтиленовая толщиной: 0,2-0,5 мм, изоловая</t>
  </si>
  <si>
    <t>19,0896
1,5908*12</t>
  </si>
  <si>
    <t>ФЕР26-01-054-01
МАТ=0</t>
  </si>
  <si>
    <t>326,9
276,31</t>
  </si>
  <si>
    <t>26.71 Обертывание поверхности изоляции рулонными материалами насухо с проклейкой швов: ОЗП=16,45; ЭМ=10,4; ЗПМ=16,45; МАТ=9,73</t>
  </si>
  <si>
    <t>Обертывание поверхности изоляции рулонными материалами насухо с проклейкой швов</t>
  </si>
  <si>
    <t>ФССЦ-104-9242-90005</t>
  </si>
  <si>
    <t>Утеплитель URSA: М 15, толщиной 50 мм 64,28/5,58=11,52</t>
  </si>
  <si>
    <t>ФЕР26-01-054-01
ПЗ=2
ОЗП=2
ЭМ=2
ЗПМ=2
МАТ=2*0
ТЗ=2
ТЗМ=2</t>
  </si>
  <si>
    <t>653,8
552,62</t>
  </si>
  <si>
    <t>ФССЦ-104-0067</t>
  </si>
  <si>
    <t>Холсты стекловолокнистые марки:ВВ-Т; МАТ=8,578</t>
  </si>
  <si>
    <t>Холсты стекловолокнистые марки: ВВ-Т</t>
  </si>
  <si>
    <t>10 м2</t>
  </si>
  <si>
    <t>0,3216
0,0268*12</t>
  </si>
  <si>
    <t>110,48
0,03</t>
  </si>
  <si>
    <t>127,05
0,04</t>
  </si>
  <si>
    <t xml:space="preserve">   При ремонте и реконструкции зданий и сооружений работы, аналогичные технологическим процессам в новом строительстве ОЗП=1,15; ЭМ-ЗПМ=1,25; ЗПМ=1,25; ТЗ=1,15; ТЗМ=1,25  (Поз. 89-90, 93, 95, 97)</t>
  </si>
  <si>
    <t>16,572
0,0075</t>
  </si>
  <si>
    <t>Итого по разделу 5 Утепление фановых труб - 12 шт</t>
  </si>
  <si>
    <t xml:space="preserve">                           Раздел 6. Вывоз мусора</t>
  </si>
  <si>
    <t>ФССЦпг01-01-01-041</t>
  </si>
  <si>
    <t>42,98
42,98</t>
  </si>
  <si>
    <t>Мусор строительный, вручную: погрузка: ОЗП=10,64</t>
  </si>
  <si>
    <t xml:space="preserve">НР 0% от </t>
  </si>
  <si>
    <t xml:space="preserve">СП 0% от </t>
  </si>
  <si>
    <t>Погрузочные работы при автомобильных перевозках: мусора строительного с погрузкой вручную</t>
  </si>
  <si>
    <t>1 т груза</t>
  </si>
  <si>
    <t>ФССЦпг01-01-01-043</t>
  </si>
  <si>
    <t>Мусор строительный, экскаваторами емк,ковша 0,5 м3: погрузка; ЭМ=11,56</t>
  </si>
  <si>
    <t>Погрузочные работы при автомобильных перевозках: мусора строительного с погрузкой экскаваторами емкостью ковша до 0,5 м3</t>
  </si>
  <si>
    <t>ФССЦпг03-21-01-015</t>
  </si>
  <si>
    <t>Перевозка грузов автомобилями-самосвалами грузоподъемностью 10 т, работающих вне карьера, на расстояние: до 15 км.: I класс груза; ЭМ=9,57</t>
  </si>
  <si>
    <t>Перевозка грузов автомобилями-самосвалами грузоподъемностью 10 т, работающих вне карьера, на расстояние: до 15 км I класс груза</t>
  </si>
  <si>
    <t>Итого по разделу 6 Вывоз мусора</t>
  </si>
  <si>
    <t>Итого прямые затраты по смете в ценах 2001г.</t>
  </si>
  <si>
    <t>17556
1074</t>
  </si>
  <si>
    <t>5547,67
83,5</t>
  </si>
  <si>
    <t>Итого прямые затраты по смете с учетом коэффициентов к итогам</t>
  </si>
  <si>
    <t>20210
1257</t>
  </si>
  <si>
    <t>6151,03
96,83</t>
  </si>
  <si>
    <t>Итого прямые затраты по смете с учетом индексов, в текущих ценах</t>
  </si>
  <si>
    <t>209711
20675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</si>
  <si>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</si>
  <si>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</si>
  <si>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293,67
14,34</t>
  </si>
  <si>
    <t xml:space="preserve">  Крыши, кровли (ремонтно-строительные)</t>
  </si>
  <si>
    <t>988,72
15,32</t>
  </si>
  <si>
    <t xml:space="preserve">  Кровли</t>
  </si>
  <si>
    <t>2710,92
49,91</t>
  </si>
  <si>
    <t xml:space="preserve">  Прочие ремонтно-строительные работы</t>
  </si>
  <si>
    <t xml:space="preserve">  Внутренние санитарно-технические работы: демонтаж и разборка (ремонтно-строительные)</t>
  </si>
  <si>
    <t>88,03
0,24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</si>
  <si>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</si>
  <si>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68,51
0,04</t>
  </si>
  <si>
    <t xml:space="preserve">  Конструкции из кирпича и блоков</t>
  </si>
  <si>
    <t>110,11
6,26</t>
  </si>
  <si>
    <t xml:space="preserve">  Материалы для строительных работ</t>
  </si>
  <si>
    <t xml:space="preserve">  Машины</t>
  </si>
  <si>
    <t xml:space="preserve">  Деревянные конструкции</t>
  </si>
  <si>
    <t>1452,39
10,69</t>
  </si>
  <si>
    <t xml:space="preserve">  Строительные металлические конструкции</t>
  </si>
  <si>
    <t xml:space="preserve">  Теплоизоляционные работы</t>
  </si>
  <si>
    <t>261,5
0,03</t>
  </si>
  <si>
    <t xml:space="preserve">  Погрузо-разгрузочные работы при автоперевозках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</si>
  <si>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</si>
  <si>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</si>
  <si>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</si>
  <si>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</si>
  <si>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</si>
  <si>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</si>
  <si>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</si>
  <si>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</si>
  <si>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ВСЕГО по смете</t>
  </si>
  <si>
    <t>Составлен(а) в текущих ценах по состоянию на 2 кв. 2015 года</t>
  </si>
  <si>
    <t xml:space="preserve">на   ремонт крыши </t>
  </si>
  <si>
    <t>Капитальный ремонт многоквартирного дома, расположенного по адресу: Томская область, г. Томск, ул. Новгородская, дом № 42</t>
  </si>
  <si>
    <t>Проведена проверка достоверности определения сметной стоимости</t>
  </si>
  <si>
    <t>Составила:____________________________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</si>
</sst>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9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Border="1" applyAlignment="1"/>
    <xf numFmtId="0" fontId="1" fillId="0" borderId="0" xfId="9" quotePrefix="1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9" applyFont="1">
      <alignment horizontal="right" indent="1"/>
    </xf>
    <xf numFmtId="0" fontId="1" fillId="0" borderId="0" xfId="9" applyFont="1" applyBorder="1">
      <alignment horizontal="right" indent="1"/>
    </xf>
    <xf numFmtId="0" fontId="1" fillId="0" borderId="0" xfId="9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center"/>
    </xf>
    <xf numFmtId="0" fontId="2" fillId="0" borderId="0" xfId="9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0" xfId="11" applyFont="1" applyAlignment="1">
      <alignment horizontal="left" vertical="top"/>
    </xf>
    <xf numFmtId="0" fontId="1" fillId="0" borderId="3" xfId="4" applyFont="1" applyBorder="1" applyAlignment="1">
      <alignment horizontal="center" wrapText="1"/>
    </xf>
    <xf numFmtId="0" fontId="1" fillId="0" borderId="8" xfId="4" applyFont="1" applyBorder="1">
      <alignment horizontal="center" wrapText="1"/>
    </xf>
    <xf numFmtId="0" fontId="1" fillId="0" borderId="3" xfId="4" applyFont="1" applyBorder="1">
      <alignment horizontal="center" wrapText="1"/>
    </xf>
    <xf numFmtId="0" fontId="2" fillId="0" borderId="3" xfId="4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0" borderId="1" xfId="9" applyFont="1" applyBorder="1">
      <alignment horizontal="right" inden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right" vertical="top" wrapText="1"/>
    </xf>
    <xf numFmtId="0" fontId="1" fillId="0" borderId="1" xfId="3" applyFont="1" applyBorder="1" applyAlignment="1">
      <alignment horizontal="right" vertical="top" wrapText="1"/>
    </xf>
    <xf numFmtId="0" fontId="1" fillId="0" borderId="0" xfId="9" quotePrefix="1" applyFont="1" applyAlignment="1">
      <alignment horizontal="left"/>
    </xf>
    <xf numFmtId="0" fontId="1" fillId="0" borderId="2" xfId="9" applyFont="1" applyBorder="1" applyAlignment="1">
      <alignment horizontal="center"/>
    </xf>
    <xf numFmtId="0" fontId="1" fillId="0" borderId="2" xfId="9" applyFont="1" applyBorder="1" applyAlignment="1">
      <alignment horizontal="left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horizontal="right" vertical="top" wrapText="1"/>
    </xf>
    <xf numFmtId="0" fontId="1" fillId="0" borderId="3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1" fillId="0" borderId="0" xfId="9" applyFont="1" applyAlignment="1">
      <alignment horizontal="left"/>
    </xf>
    <xf numFmtId="0" fontId="1" fillId="0" borderId="2" xfId="9" applyFont="1" applyBorder="1">
      <alignment horizontal="right" indent="1"/>
    </xf>
    <xf numFmtId="0" fontId="1" fillId="0" borderId="6" xfId="9" applyFont="1" applyBorder="1">
      <alignment horizontal="right" inden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8" xfId="0" applyFont="1" applyBorder="1" applyAlignment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13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1" xfId="3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I198"/>
  <sheetViews>
    <sheetView showGridLines="0" tabSelected="1" zoomScale="101" zoomScaleNormal="101" workbookViewId="0">
      <selection activeCell="D7" sqref="D7"/>
    </sheetView>
  </sheetViews>
  <sheetFormatPr defaultRowHeight="12.75" x14ac:dyDescent="0.2"/>
  <cols>
    <col min="1" max="1" width="3.42578125" style="3" customWidth="1"/>
    <col min="2" max="2" width="14.42578125" style="3" customWidth="1"/>
    <col min="3" max="3" width="41.7109375" style="3" customWidth="1"/>
    <col min="4" max="4" width="6.85546875" style="3" customWidth="1"/>
    <col min="5" max="5" width="9.7109375" style="33" customWidth="1"/>
    <col min="6" max="6" width="8.85546875" style="33" customWidth="1"/>
    <col min="7" max="7" width="0.140625" style="33" hidden="1" customWidth="1"/>
    <col min="8" max="8" width="25.28515625" style="33" customWidth="1"/>
    <col min="9" max="9" width="9.7109375" style="33" customWidth="1"/>
    <col min="10" max="10" width="8.140625" style="33" customWidth="1"/>
    <col min="11" max="11" width="8.7109375" style="33" customWidth="1"/>
    <col min="12" max="12" width="8.85546875" style="33" hidden="1" customWidth="1"/>
    <col min="13" max="13" width="7.7109375" style="33" customWidth="1"/>
    <col min="14" max="14" width="8" style="2" customWidth="1"/>
    <col min="15" max="15" width="9.140625" style="2"/>
    <col min="16" max="16" width="19.7109375" style="2" customWidth="1"/>
    <col min="17" max="26" width="9.140625" style="2"/>
    <col min="27" max="34" width="30.7109375" style="2" customWidth="1"/>
    <col min="35" max="35" width="31.5703125" style="2" customWidth="1"/>
    <col min="36" max="16384" width="9.140625" style="2"/>
  </cols>
  <sheetData>
    <row r="1" spans="1:14" s="1" customFormat="1" x14ac:dyDescent="0.2">
      <c r="A1" s="15"/>
      <c r="B1" s="20"/>
      <c r="C1" s="15"/>
      <c r="E1" s="21"/>
      <c r="F1" s="62" t="s">
        <v>549</v>
      </c>
      <c r="G1" s="21"/>
      <c r="H1" s="22"/>
      <c r="I1" s="15"/>
      <c r="J1" s="15"/>
      <c r="K1" s="15"/>
      <c r="L1" s="15"/>
      <c r="M1" s="15"/>
    </row>
    <row r="2" spans="1:14" s="1" customFormat="1" x14ac:dyDescent="0.2">
      <c r="A2" s="8" t="s">
        <v>5</v>
      </c>
      <c r="B2" s="20"/>
      <c r="D2" s="22"/>
      <c r="F2" s="23" t="s">
        <v>1</v>
      </c>
      <c r="G2" s="23"/>
      <c r="J2" s="8"/>
      <c r="L2" s="8"/>
      <c r="M2" s="15"/>
      <c r="N2" s="24" t="s">
        <v>6</v>
      </c>
    </row>
    <row r="3" spans="1:14" s="1" customFormat="1" x14ac:dyDescent="0.2">
      <c r="A3" s="25" t="s">
        <v>7</v>
      </c>
      <c r="E3" s="15"/>
      <c r="F3" s="15"/>
      <c r="G3" s="15"/>
      <c r="H3" s="15"/>
      <c r="J3" s="8"/>
      <c r="L3" s="8"/>
      <c r="M3" s="15"/>
      <c r="N3" s="26" t="s">
        <v>0</v>
      </c>
    </row>
    <row r="4" spans="1:14" s="1" customFormat="1" ht="51" customHeight="1" x14ac:dyDescent="0.2">
      <c r="A4" s="64" t="s">
        <v>25</v>
      </c>
      <c r="B4" s="64"/>
      <c r="C4" s="64"/>
      <c r="F4" s="27" t="s">
        <v>26</v>
      </c>
      <c r="G4" s="15"/>
      <c r="I4" s="65" t="s">
        <v>25</v>
      </c>
      <c r="J4" s="65"/>
      <c r="K4" s="65"/>
      <c r="L4" s="65"/>
      <c r="M4" s="65"/>
      <c r="N4" s="65"/>
    </row>
    <row r="5" spans="1:14" s="1" customFormat="1" x14ac:dyDescent="0.2">
      <c r="A5" s="15"/>
      <c r="B5" s="15"/>
      <c r="C5" s="15"/>
      <c r="F5" s="15" t="s">
        <v>2</v>
      </c>
      <c r="G5" s="15"/>
      <c r="I5" s="15"/>
      <c r="J5" s="15"/>
      <c r="K5" s="15"/>
      <c r="L5" s="15"/>
      <c r="M5" s="15"/>
    </row>
    <row r="6" spans="1:14" s="1" customFormat="1" x14ac:dyDescent="0.2">
      <c r="A6" s="15"/>
      <c r="B6" s="15"/>
      <c r="C6" s="15"/>
      <c r="E6" s="15"/>
      <c r="F6" s="15"/>
      <c r="G6" s="15"/>
      <c r="H6" s="15"/>
      <c r="I6" s="15"/>
      <c r="J6" s="15"/>
      <c r="K6" s="15"/>
      <c r="L6" s="15"/>
      <c r="M6" s="15"/>
    </row>
    <row r="7" spans="1:14" s="1" customFormat="1" x14ac:dyDescent="0.2">
      <c r="A7" s="15"/>
      <c r="B7" s="15"/>
      <c r="C7" s="28"/>
      <c r="D7" s="63" t="s">
        <v>548</v>
      </c>
      <c r="E7" s="29"/>
      <c r="F7" s="29"/>
      <c r="G7" s="29"/>
      <c r="H7" s="29"/>
      <c r="I7" s="30"/>
      <c r="J7" s="30"/>
      <c r="K7" s="30"/>
      <c r="L7" s="30"/>
      <c r="M7" s="15"/>
    </row>
    <row r="8" spans="1:14" s="1" customFormat="1" x14ac:dyDescent="0.2">
      <c r="A8" s="15"/>
      <c r="B8" s="15"/>
      <c r="C8" s="15"/>
      <c r="D8" s="31" t="s">
        <v>21</v>
      </c>
      <c r="E8" s="23"/>
      <c r="F8" s="23"/>
      <c r="G8" s="23"/>
      <c r="I8" s="30"/>
      <c r="J8" s="30"/>
      <c r="K8" s="30"/>
      <c r="L8" s="30"/>
      <c r="M8" s="15"/>
    </row>
    <row r="9" spans="1:14" s="1" customFormat="1" ht="7.5" customHeight="1" x14ac:dyDescent="0.2">
      <c r="A9" s="32"/>
      <c r="B9" s="32"/>
      <c r="C9" s="15"/>
      <c r="E9" s="15"/>
      <c r="F9" s="15"/>
      <c r="G9" s="15"/>
      <c r="H9" s="15"/>
      <c r="I9" s="15"/>
      <c r="J9" s="15"/>
      <c r="M9" s="15"/>
    </row>
    <row r="10" spans="1:14" x14ac:dyDescent="0.2">
      <c r="A10" s="75" t="s">
        <v>27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x14ac:dyDescent="0.2">
      <c r="A11" s="6" t="s">
        <v>10</v>
      </c>
      <c r="B11" s="7"/>
      <c r="C11" s="76">
        <v>4888146</v>
      </c>
      <c r="D11" s="76"/>
      <c r="E11" s="76"/>
      <c r="F11" s="8" t="s">
        <v>9</v>
      </c>
      <c r="G11" s="9"/>
      <c r="H11" s="9"/>
      <c r="I11" s="9"/>
      <c r="J11" s="70" t="s">
        <v>550</v>
      </c>
      <c r="K11" s="71"/>
      <c r="L11" s="71"/>
      <c r="M11" s="72"/>
      <c r="N11" s="72"/>
    </row>
    <row r="12" spans="1:14" x14ac:dyDescent="0.2">
      <c r="A12" s="6" t="s">
        <v>20</v>
      </c>
      <c r="B12" s="7"/>
      <c r="C12" s="10"/>
      <c r="D12" s="77">
        <v>915909</v>
      </c>
      <c r="E12" s="77"/>
      <c r="F12" s="8" t="s">
        <v>9</v>
      </c>
      <c r="G12" s="9"/>
      <c r="H12" s="9"/>
      <c r="I12" s="9"/>
      <c r="J12" s="71"/>
      <c r="K12" s="71"/>
      <c r="L12" s="71"/>
      <c r="M12" s="72"/>
      <c r="N12" s="72"/>
    </row>
    <row r="13" spans="1:14" x14ac:dyDescent="0.2">
      <c r="A13" s="61" t="s">
        <v>547</v>
      </c>
      <c r="B13" s="2"/>
      <c r="C13" s="11"/>
      <c r="D13" s="12"/>
      <c r="E13" s="13"/>
      <c r="F13" s="34"/>
      <c r="G13" s="14"/>
      <c r="H13" s="14"/>
      <c r="I13" s="9"/>
      <c r="J13" s="9"/>
    </row>
    <row r="14" spans="1:14" ht="11.25" customHeight="1" x14ac:dyDescent="0.2">
      <c r="A14" s="15"/>
      <c r="B14" s="8"/>
      <c r="C14" s="8"/>
      <c r="D14" s="15"/>
      <c r="E14" s="9"/>
      <c r="F14" s="9"/>
      <c r="G14" s="9"/>
      <c r="H14" s="10"/>
      <c r="I14" s="9"/>
      <c r="J14" s="9"/>
      <c r="K14" s="9"/>
      <c r="L14" s="9"/>
      <c r="M14" s="9"/>
      <c r="N14" s="2" t="s">
        <v>9</v>
      </c>
    </row>
    <row r="15" spans="1:14" ht="12.75" customHeight="1" x14ac:dyDescent="0.2">
      <c r="A15" s="68" t="s">
        <v>3</v>
      </c>
      <c r="B15" s="68" t="s">
        <v>17</v>
      </c>
      <c r="C15" s="66" t="s">
        <v>22</v>
      </c>
      <c r="D15" s="66" t="s">
        <v>18</v>
      </c>
      <c r="E15" s="82" t="s">
        <v>23</v>
      </c>
      <c r="F15" s="83"/>
      <c r="G15" s="84"/>
      <c r="H15" s="66" t="s">
        <v>4</v>
      </c>
      <c r="I15" s="82" t="s">
        <v>24</v>
      </c>
      <c r="J15" s="88"/>
      <c r="K15" s="88"/>
      <c r="L15" s="79"/>
      <c r="M15" s="78" t="s">
        <v>19</v>
      </c>
      <c r="N15" s="79"/>
    </row>
    <row r="16" spans="1:14" s="4" customFormat="1" ht="38.25" customHeight="1" x14ac:dyDescent="0.2">
      <c r="A16" s="69"/>
      <c r="B16" s="69"/>
      <c r="C16" s="69"/>
      <c r="D16" s="69"/>
      <c r="E16" s="85"/>
      <c r="F16" s="86"/>
      <c r="G16" s="87"/>
      <c r="H16" s="69"/>
      <c r="I16" s="80"/>
      <c r="J16" s="89"/>
      <c r="K16" s="89"/>
      <c r="L16" s="81"/>
      <c r="M16" s="80"/>
      <c r="N16" s="81"/>
    </row>
    <row r="17" spans="1:35" s="4" customFormat="1" ht="12.75" customHeight="1" x14ac:dyDescent="0.2">
      <c r="A17" s="69"/>
      <c r="B17" s="69"/>
      <c r="C17" s="69"/>
      <c r="D17" s="69"/>
      <c r="E17" s="35" t="s">
        <v>12</v>
      </c>
      <c r="F17" s="35" t="s">
        <v>14</v>
      </c>
      <c r="G17" s="66" t="s">
        <v>16</v>
      </c>
      <c r="H17" s="69"/>
      <c r="I17" s="66" t="s">
        <v>12</v>
      </c>
      <c r="J17" s="66" t="s">
        <v>15</v>
      </c>
      <c r="K17" s="35" t="s">
        <v>14</v>
      </c>
      <c r="L17" s="66" t="s">
        <v>16</v>
      </c>
      <c r="M17" s="68" t="s">
        <v>8</v>
      </c>
      <c r="N17" s="66" t="s">
        <v>12</v>
      </c>
    </row>
    <row r="18" spans="1:35" s="4" customFormat="1" ht="11.25" customHeight="1" x14ac:dyDescent="0.2">
      <c r="A18" s="67"/>
      <c r="B18" s="67"/>
      <c r="C18" s="67"/>
      <c r="D18" s="67"/>
      <c r="E18" s="36" t="s">
        <v>11</v>
      </c>
      <c r="F18" s="35" t="s">
        <v>13</v>
      </c>
      <c r="G18" s="67"/>
      <c r="H18" s="67"/>
      <c r="I18" s="67"/>
      <c r="J18" s="67"/>
      <c r="K18" s="35" t="s">
        <v>13</v>
      </c>
      <c r="L18" s="67"/>
      <c r="M18" s="67"/>
      <c r="N18" s="67"/>
    </row>
    <row r="19" spans="1:35" x14ac:dyDescent="0.2">
      <c r="A19" s="40">
        <v>1</v>
      </c>
      <c r="B19" s="40">
        <v>2</v>
      </c>
      <c r="C19" s="40">
        <v>3</v>
      </c>
      <c r="D19" s="40">
        <v>4</v>
      </c>
      <c r="E19" s="40">
        <v>5</v>
      </c>
      <c r="F19" s="40">
        <v>6</v>
      </c>
      <c r="G19" s="40">
        <v>7</v>
      </c>
      <c r="H19" s="40">
        <v>7</v>
      </c>
      <c r="I19" s="40">
        <v>8</v>
      </c>
      <c r="J19" s="40">
        <v>9</v>
      </c>
      <c r="K19" s="40">
        <v>10</v>
      </c>
      <c r="L19" s="40">
        <v>12</v>
      </c>
      <c r="M19" s="40">
        <v>11</v>
      </c>
      <c r="N19" s="40">
        <v>12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41"/>
      <c r="AB19" s="42"/>
      <c r="AC19" s="42"/>
      <c r="AD19" s="42"/>
      <c r="AE19" s="42"/>
      <c r="AF19" s="43"/>
      <c r="AG19" s="42"/>
      <c r="AH19" s="42"/>
      <c r="AI19" s="42"/>
    </row>
    <row r="20" spans="1:35" ht="21" customHeight="1" x14ac:dyDescent="0.2">
      <c r="A20" s="90" t="s">
        <v>29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35" ht="114.75" x14ac:dyDescent="0.2">
      <c r="A21" s="44">
        <v>1</v>
      </c>
      <c r="B21" s="45" t="s">
        <v>30</v>
      </c>
      <c r="C21" s="46" t="str">
        <f t="shared" ref="C21:C33" ca="1" si="0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Разборка покрытий кровель: из волнистых и полуволнистых асбестоцементных листов
100 м2 покрытия
18889 руб. НР 84%=110%*(0,85*0,9) от ФОТ (22487 руб.)
10794 руб.СП 48%=70%*(0,8*0,85) от ФОТ (22487 руб.)
</v>
      </c>
      <c r="D21" s="44">
        <v>11.02</v>
      </c>
      <c r="E21" s="47" t="s">
        <v>31</v>
      </c>
      <c r="F21" s="47">
        <v>30.64</v>
      </c>
      <c r="G21" s="47"/>
      <c r="H21" s="48" t="s">
        <v>32</v>
      </c>
      <c r="I21" s="49">
        <v>23497</v>
      </c>
      <c r="J21" s="47">
        <v>22487</v>
      </c>
      <c r="K21" s="47">
        <v>1011</v>
      </c>
      <c r="L21" s="47" t="str">
        <f>IF(11.02*0=0," ",TEXT(,ROUND((11.02*0*1),2)))</f>
        <v xml:space="preserve"> </v>
      </c>
      <c r="M21" s="47">
        <v>15.9</v>
      </c>
      <c r="N21" s="47">
        <v>175.22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 t="s">
        <v>33</v>
      </c>
      <c r="AB21" s="51" t="s">
        <v>34</v>
      </c>
      <c r="AC21" s="51">
        <v>18889</v>
      </c>
      <c r="AD21" s="51">
        <v>10794</v>
      </c>
      <c r="AE21" s="51"/>
      <c r="AF21" s="52" t="s">
        <v>35</v>
      </c>
      <c r="AG21" s="51" t="s">
        <v>36</v>
      </c>
      <c r="AH21" s="51"/>
      <c r="AI21" s="51">
        <f>22487+0</f>
        <v>22487</v>
      </c>
    </row>
    <row r="22" spans="1:35" ht="102" x14ac:dyDescent="0.2">
      <c r="A22" s="44">
        <v>2</v>
      </c>
      <c r="B22" s="45" t="s">
        <v>37</v>
      </c>
      <c r="C22" s="46" t="str">
        <f t="shared" ca="1" si="0"/>
        <v xml:space="preserve">Разборка мелких покрытий и обделок из листовой стали: поясков, сандриков, желобов, отливов, свесов и т.п.
100 м труб и покрытий
1635 руб. НР 71%=83%*0,85 от ФОТ (2303 руб.)
1198 руб.СП 52%=65%*0,8 от ФОТ (2303 руб.)
</v>
      </c>
      <c r="D22" s="44" t="s">
        <v>38</v>
      </c>
      <c r="E22" s="47" t="s">
        <v>39</v>
      </c>
      <c r="F22" s="47">
        <v>0.2</v>
      </c>
      <c r="G22" s="47"/>
      <c r="H22" s="48" t="s">
        <v>40</v>
      </c>
      <c r="I22" s="49">
        <v>2304</v>
      </c>
      <c r="J22" s="47">
        <v>2303</v>
      </c>
      <c r="K22" s="47"/>
      <c r="L22" s="47" t="str">
        <f>IF(1.9792*0=0," ",TEXT(,ROUND((1.9792*0*1),2)))</f>
        <v xml:space="preserve"> </v>
      </c>
      <c r="M22" s="47">
        <v>9.1</v>
      </c>
      <c r="N22" s="47">
        <v>18.010000000000002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 t="s">
        <v>41</v>
      </c>
      <c r="AB22" s="51" t="s">
        <v>42</v>
      </c>
      <c r="AC22" s="51">
        <v>1635</v>
      </c>
      <c r="AD22" s="51">
        <v>1198</v>
      </c>
      <c r="AE22" s="51"/>
      <c r="AF22" s="52" t="s">
        <v>43</v>
      </c>
      <c r="AG22" s="51" t="s">
        <v>44</v>
      </c>
      <c r="AH22" s="51"/>
      <c r="AI22" s="51">
        <f>2303+0</f>
        <v>2303</v>
      </c>
    </row>
    <row r="23" spans="1:35" ht="89.25" x14ac:dyDescent="0.2">
      <c r="A23" s="44">
        <v>3</v>
      </c>
      <c r="B23" s="45" t="s">
        <v>45</v>
      </c>
      <c r="C23" s="46" t="str">
        <f t="shared" ca="1" si="0"/>
        <v xml:space="preserve">Разборка слуховых окон: прямоугольных односкатных
100 окон
572 руб. НР 71%=83%*0,85 от ФОТ (806 руб.)
419 руб.СП 52%=65%*0,8 от ФОТ (806 руб.)
</v>
      </c>
      <c r="D23" s="44">
        <v>0.02</v>
      </c>
      <c r="E23" s="47" t="s">
        <v>46</v>
      </c>
      <c r="F23" s="47">
        <v>10.37</v>
      </c>
      <c r="G23" s="47"/>
      <c r="H23" s="48" t="s">
        <v>47</v>
      </c>
      <c r="I23" s="49">
        <v>806</v>
      </c>
      <c r="J23" s="47">
        <v>806</v>
      </c>
      <c r="K23" s="47"/>
      <c r="L23" s="47" t="str">
        <f>IF(0.02*0=0," ",TEXT(,ROUND((0.02*0*1),2)))</f>
        <v xml:space="preserve"> </v>
      </c>
      <c r="M23" s="47">
        <v>309.3</v>
      </c>
      <c r="N23" s="47">
        <v>6.19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1" t="s">
        <v>41</v>
      </c>
      <c r="AB23" s="51" t="s">
        <v>42</v>
      </c>
      <c r="AC23" s="51">
        <v>572</v>
      </c>
      <c r="AD23" s="51">
        <v>419</v>
      </c>
      <c r="AE23" s="51"/>
      <c r="AF23" s="52" t="s">
        <v>48</v>
      </c>
      <c r="AG23" s="51" t="s">
        <v>49</v>
      </c>
      <c r="AH23" s="51"/>
      <c r="AI23" s="51">
        <f>806+0</f>
        <v>806</v>
      </c>
    </row>
    <row r="24" spans="1:35" ht="89.25" x14ac:dyDescent="0.2">
      <c r="A24" s="44">
        <v>4</v>
      </c>
      <c r="B24" s="45" t="s">
        <v>50</v>
      </c>
      <c r="C24" s="46" t="str">
        <f t="shared" ca="1" si="0"/>
        <v xml:space="preserve">Разборка деревянных элементов конструкций крыш: обрешетки из брусков с прозорами
100 м2 кровли
17145 руб. НР 71%=83%*0,85 от ФОТ (24148 руб.)
12557 руб.СП 52%=65%*0,8 от ФОТ (24148 руб.)
</v>
      </c>
      <c r="D24" s="44">
        <v>11.6</v>
      </c>
      <c r="E24" s="47" t="s">
        <v>51</v>
      </c>
      <c r="F24" s="47" t="s">
        <v>52</v>
      </c>
      <c r="G24" s="47"/>
      <c r="H24" s="48" t="s">
        <v>53</v>
      </c>
      <c r="I24" s="49">
        <v>28505</v>
      </c>
      <c r="J24" s="47">
        <v>22964</v>
      </c>
      <c r="K24" s="47" t="s">
        <v>54</v>
      </c>
      <c r="L24" s="47" t="str">
        <f>IF(11.6*0=0," ",TEXT(,ROUND((11.6*0*1),2)))</f>
        <v xml:space="preserve"> </v>
      </c>
      <c r="M24" s="47" t="s">
        <v>55</v>
      </c>
      <c r="N24" s="47" t="s">
        <v>56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1" t="s">
        <v>41</v>
      </c>
      <c r="AB24" s="51" t="s">
        <v>42</v>
      </c>
      <c r="AC24" s="51">
        <v>17145</v>
      </c>
      <c r="AD24" s="51">
        <v>12557</v>
      </c>
      <c r="AE24" s="51"/>
      <c r="AF24" s="52" t="s">
        <v>57</v>
      </c>
      <c r="AG24" s="51" t="s">
        <v>58</v>
      </c>
      <c r="AH24" s="51"/>
      <c r="AI24" s="51">
        <f>22964+1184</f>
        <v>24148</v>
      </c>
    </row>
    <row r="25" spans="1:35" ht="102" x14ac:dyDescent="0.2">
      <c r="A25" s="44">
        <v>5</v>
      </c>
      <c r="B25" s="45" t="s">
        <v>59</v>
      </c>
      <c r="C25" s="46" t="str">
        <f t="shared" ca="1" si="0"/>
        <v xml:space="preserve">Разборка деревянных элементов конструкций крыш: стропил со стойками и подкосами из досок
100 м2 кровли
25380 руб. НР 71%=83%*0,85 от ФОТ (35746 руб.)
18588 руб.СП 52%=65%*0,8 от ФОТ (35746 руб.)
</v>
      </c>
      <c r="D25" s="44">
        <v>11.6</v>
      </c>
      <c r="E25" s="47" t="s">
        <v>60</v>
      </c>
      <c r="F25" s="47" t="s">
        <v>61</v>
      </c>
      <c r="G25" s="47"/>
      <c r="H25" s="48" t="s">
        <v>53</v>
      </c>
      <c r="I25" s="49">
        <v>38504</v>
      </c>
      <c r="J25" s="47">
        <v>35006</v>
      </c>
      <c r="K25" s="47" t="s">
        <v>62</v>
      </c>
      <c r="L25" s="47" t="str">
        <f>IF(11.6*0=0," ",TEXT(,ROUND((11.6*0*1),2)))</f>
        <v xml:space="preserve"> </v>
      </c>
      <c r="M25" s="47" t="s">
        <v>63</v>
      </c>
      <c r="N25" s="47" t="s">
        <v>64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1" t="s">
        <v>41</v>
      </c>
      <c r="AB25" s="51" t="s">
        <v>42</v>
      </c>
      <c r="AC25" s="51">
        <v>25380</v>
      </c>
      <c r="AD25" s="51">
        <v>18588</v>
      </c>
      <c r="AE25" s="51"/>
      <c r="AF25" s="52" t="s">
        <v>65</v>
      </c>
      <c r="AG25" s="51" t="s">
        <v>58</v>
      </c>
      <c r="AH25" s="51"/>
      <c r="AI25" s="51">
        <f>35006+740</f>
        <v>35746</v>
      </c>
    </row>
    <row r="26" spans="1:35" ht="89.25" x14ac:dyDescent="0.2">
      <c r="A26" s="44">
        <v>6</v>
      </c>
      <c r="B26" s="45" t="s">
        <v>66</v>
      </c>
      <c r="C26" s="46" t="str">
        <f t="shared" ca="1" si="0"/>
        <v xml:space="preserve">Разборка деревянных элементов конструкций крыш: мауэрлатов
100 м2 кровли
7732 руб. НР 71%=83%*0,85 от ФОТ (10890 руб.)
5663 руб.СП 52%=65%*0,8 от ФОТ (10890 руб.)
</v>
      </c>
      <c r="D26" s="44">
        <v>11.6</v>
      </c>
      <c r="E26" s="47" t="s">
        <v>67</v>
      </c>
      <c r="F26" s="47" t="s">
        <v>68</v>
      </c>
      <c r="G26" s="47"/>
      <c r="H26" s="48" t="s">
        <v>53</v>
      </c>
      <c r="I26" s="49">
        <v>13456</v>
      </c>
      <c r="J26" s="47">
        <v>10199</v>
      </c>
      <c r="K26" s="47" t="s">
        <v>69</v>
      </c>
      <c r="L26" s="47" t="str">
        <f>IF(11.6*0=0," ",TEXT(,ROUND((11.6*0*1),2)))</f>
        <v xml:space="preserve"> </v>
      </c>
      <c r="M26" s="47" t="s">
        <v>70</v>
      </c>
      <c r="N26" s="47" t="s">
        <v>71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1" t="s">
        <v>41</v>
      </c>
      <c r="AB26" s="51" t="s">
        <v>42</v>
      </c>
      <c r="AC26" s="51">
        <v>7732</v>
      </c>
      <c r="AD26" s="51">
        <v>5663</v>
      </c>
      <c r="AE26" s="51"/>
      <c r="AF26" s="52" t="s">
        <v>72</v>
      </c>
      <c r="AG26" s="51" t="s">
        <v>58</v>
      </c>
      <c r="AH26" s="51"/>
      <c r="AI26" s="51">
        <f>10199+691</f>
        <v>10890</v>
      </c>
    </row>
    <row r="27" spans="1:35" ht="153" x14ac:dyDescent="0.2">
      <c r="A27" s="44">
        <v>7</v>
      </c>
      <c r="B27" s="45" t="s">
        <v>73</v>
      </c>
      <c r="C27" s="46" t="str">
        <f t="shared" ca="1" si="0"/>
        <v xml:space="preserve">Демонтаж ограждения кровель перилами
100 м ограждения
КОЭФ. К ПОЗИЦИИ:
Демонтаж (разборка) металлических конструкций ОЗП=0,7; ЭМ=0,7 к расх.; ЗПМ=0,7; МАТ=0 к расх.; ТЗ=0,7; ТЗМ=0,7
1135 руб. НР 92%=120%*(0,85*0,9) от ФОТ (1234 руб.)
543 руб.СП 44%=65%*(0,8*0,85) от ФОТ (1234 руб.)
</v>
      </c>
      <c r="D27" s="44">
        <v>1.7</v>
      </c>
      <c r="E27" s="47" t="s">
        <v>74</v>
      </c>
      <c r="F27" s="47" t="s">
        <v>75</v>
      </c>
      <c r="G27" s="47"/>
      <c r="H27" s="48" t="s">
        <v>76</v>
      </c>
      <c r="I27" s="49">
        <v>1807</v>
      </c>
      <c r="J27" s="47">
        <v>1152</v>
      </c>
      <c r="K27" s="47" t="s">
        <v>77</v>
      </c>
      <c r="L27" s="47" t="str">
        <f>IF(1.7*0=0," ",TEXT(,ROUND((1.7*0*7.67),2)))</f>
        <v xml:space="preserve"> </v>
      </c>
      <c r="M27" s="47" t="s">
        <v>78</v>
      </c>
      <c r="N27" s="47" t="s">
        <v>79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1" t="s">
        <v>80</v>
      </c>
      <c r="AB27" s="51" t="s">
        <v>81</v>
      </c>
      <c r="AC27" s="51">
        <v>1135</v>
      </c>
      <c r="AD27" s="51">
        <v>543</v>
      </c>
      <c r="AE27" s="53" t="s">
        <v>82</v>
      </c>
      <c r="AF27" s="52" t="s">
        <v>83</v>
      </c>
      <c r="AG27" s="51" t="s">
        <v>84</v>
      </c>
      <c r="AH27" s="51"/>
      <c r="AI27" s="51">
        <f>1152+82</f>
        <v>1234</v>
      </c>
    </row>
    <row r="28" spans="1:35" ht="114.75" x14ac:dyDescent="0.2">
      <c r="A28" s="44">
        <v>8</v>
      </c>
      <c r="B28" s="45" t="s">
        <v>85</v>
      </c>
      <c r="C28" s="46" t="str">
        <f t="shared" ca="1" si="0"/>
        <v xml:space="preserve">Разборка покрытий кровель: из рулонных материалов
100 м2 покрытия
1686 руб. НР 84%=110%*(0,85*0,9) от ФОТ (2007 руб.)
963 руб.СП 48%=70%*(0,8*0,85) от ФОТ (2007 руб.)
</v>
      </c>
      <c r="D28" s="44">
        <v>1.0920000000000001</v>
      </c>
      <c r="E28" s="47" t="s">
        <v>86</v>
      </c>
      <c r="F28" s="47">
        <v>41.43</v>
      </c>
      <c r="G28" s="47"/>
      <c r="H28" s="48" t="s">
        <v>32</v>
      </c>
      <c r="I28" s="49">
        <v>2142</v>
      </c>
      <c r="J28" s="47">
        <v>2007</v>
      </c>
      <c r="K28" s="47">
        <v>135</v>
      </c>
      <c r="L28" s="47" t="str">
        <f>IF(1.092*0=0," ",TEXT(,ROUND((1.092*0*1),2)))</f>
        <v xml:space="preserve"> </v>
      </c>
      <c r="M28" s="47">
        <v>14.38</v>
      </c>
      <c r="N28" s="47">
        <v>15.7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1" t="s">
        <v>33</v>
      </c>
      <c r="AB28" s="51" t="s">
        <v>34</v>
      </c>
      <c r="AC28" s="51">
        <v>1686</v>
      </c>
      <c r="AD28" s="51">
        <v>963</v>
      </c>
      <c r="AE28" s="51"/>
      <c r="AF28" s="52" t="s">
        <v>87</v>
      </c>
      <c r="AG28" s="51" t="s">
        <v>36</v>
      </c>
      <c r="AH28" s="51"/>
      <c r="AI28" s="51">
        <f>2007+0</f>
        <v>2007</v>
      </c>
    </row>
    <row r="29" spans="1:35" ht="102" x14ac:dyDescent="0.2">
      <c r="A29" s="44">
        <v>9</v>
      </c>
      <c r="B29" s="45" t="s">
        <v>88</v>
      </c>
      <c r="C29" s="46" t="str">
        <f t="shared" ca="1" si="0"/>
        <v xml:space="preserve">Разборка: кирпичных стен
1 м3
14565 руб. НР 84%=110%*(0,85*0,9) от ФОТ (17339 руб.)
8323 руб.СП 48%=70%*(0,8*0,85) от ФОТ (17339 руб.)
</v>
      </c>
      <c r="D29" s="44">
        <v>12.47</v>
      </c>
      <c r="E29" s="47" t="s">
        <v>89</v>
      </c>
      <c r="F29" s="47" t="s">
        <v>90</v>
      </c>
      <c r="G29" s="47"/>
      <c r="H29" s="48" t="s">
        <v>91</v>
      </c>
      <c r="I29" s="49">
        <v>24796</v>
      </c>
      <c r="J29" s="47">
        <v>14970</v>
      </c>
      <c r="K29" s="47" t="s">
        <v>92</v>
      </c>
      <c r="L29" s="47" t="str">
        <f>IF(12.47*0=0," ",TEXT(,ROUND((12.47*0*1),2)))</f>
        <v xml:space="preserve"> </v>
      </c>
      <c r="M29" s="47" t="s">
        <v>93</v>
      </c>
      <c r="N29" s="47" t="s">
        <v>94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1" t="s">
        <v>33</v>
      </c>
      <c r="AB29" s="51" t="s">
        <v>34</v>
      </c>
      <c r="AC29" s="51">
        <v>14565</v>
      </c>
      <c r="AD29" s="51">
        <v>8323</v>
      </c>
      <c r="AE29" s="51"/>
      <c r="AF29" s="52" t="s">
        <v>95</v>
      </c>
      <c r="AG29" s="51" t="s">
        <v>96</v>
      </c>
      <c r="AH29" s="51"/>
      <c r="AI29" s="51">
        <f>14970+2369</f>
        <v>17339</v>
      </c>
    </row>
    <row r="30" spans="1:35" ht="89.25" x14ac:dyDescent="0.2">
      <c r="A30" s="44">
        <v>10</v>
      </c>
      <c r="B30" s="45" t="s">
        <v>97</v>
      </c>
      <c r="C30" s="46" t="str">
        <f t="shared" ca="1" si="0"/>
        <v xml:space="preserve">Затаривание строительного мусора в мешки Шлак
1 т
11400 руб. НР 66%=78%*0,85 от ФОТ (17273 руб.)
6909 руб.СП 40%=50%*0,8 от ФОТ (17273 руб.)
</v>
      </c>
      <c r="D30" s="44" t="s">
        <v>98</v>
      </c>
      <c r="E30" s="47" t="s">
        <v>99</v>
      </c>
      <c r="F30" s="47"/>
      <c r="G30" s="47">
        <v>16.399999999999999</v>
      </c>
      <c r="H30" s="48" t="s">
        <v>100</v>
      </c>
      <c r="I30" s="49">
        <v>34425</v>
      </c>
      <c r="J30" s="47">
        <v>17273</v>
      </c>
      <c r="K30" s="47"/>
      <c r="L30" s="47" t="str">
        <f>IF(141.732*16.4=0," ",TEXT(,ROUND((141.732*16.4*7.38),2)))</f>
        <v>17154.11</v>
      </c>
      <c r="M30" s="47">
        <v>1.03</v>
      </c>
      <c r="N30" s="47">
        <v>145.97999999999999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1" t="s">
        <v>101</v>
      </c>
      <c r="AB30" s="51" t="s">
        <v>102</v>
      </c>
      <c r="AC30" s="51">
        <v>11400</v>
      </c>
      <c r="AD30" s="51">
        <v>6909</v>
      </c>
      <c r="AE30" s="51"/>
      <c r="AF30" s="52" t="s">
        <v>103</v>
      </c>
      <c r="AG30" s="51" t="s">
        <v>104</v>
      </c>
      <c r="AH30" s="51"/>
      <c r="AI30" s="51">
        <f>17273+0</f>
        <v>17273</v>
      </c>
    </row>
    <row r="31" spans="1:35" ht="89.25" x14ac:dyDescent="0.2">
      <c r="A31" s="44">
        <v>11</v>
      </c>
      <c r="B31" s="45" t="s">
        <v>105</v>
      </c>
      <c r="C31" s="46" t="str">
        <f t="shared" ca="1" si="0"/>
        <v xml:space="preserve">Разборка трубопроводов из чугунных канализационных труб диаметром: 150 мм
100 м трубопровода с фасонными частями
4601 руб. НР 63%=74%*0,85 от ФОТ (7303 руб.)
2921 руб.СП 40%=50%*0,8 от ФОТ (7303 руб.)
</v>
      </c>
      <c r="D31" s="44">
        <v>0.46750000000000003</v>
      </c>
      <c r="E31" s="47" t="s">
        <v>106</v>
      </c>
      <c r="F31" s="47" t="s">
        <v>107</v>
      </c>
      <c r="G31" s="47"/>
      <c r="H31" s="48" t="s">
        <v>108</v>
      </c>
      <c r="I31" s="49">
        <v>7304</v>
      </c>
      <c r="J31" s="47">
        <v>7254</v>
      </c>
      <c r="K31" s="47" t="s">
        <v>109</v>
      </c>
      <c r="L31" s="47" t="str">
        <f>IF(0.4675*0=0," ",TEXT(,ROUND((0.4675*0*1),2)))</f>
        <v xml:space="preserve"> </v>
      </c>
      <c r="M31" s="47" t="s">
        <v>110</v>
      </c>
      <c r="N31" s="47" t="s">
        <v>111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 t="s">
        <v>112</v>
      </c>
      <c r="AB31" s="51" t="s">
        <v>102</v>
      </c>
      <c r="AC31" s="51">
        <v>4601</v>
      </c>
      <c r="AD31" s="51">
        <v>2921</v>
      </c>
      <c r="AE31" s="51"/>
      <c r="AF31" s="52" t="s">
        <v>113</v>
      </c>
      <c r="AG31" s="51" t="s">
        <v>114</v>
      </c>
      <c r="AH31" s="51"/>
      <c r="AI31" s="51">
        <f>7254+49</f>
        <v>7303</v>
      </c>
    </row>
    <row r="32" spans="1:35" ht="191.25" x14ac:dyDescent="0.2">
      <c r="A32" s="44">
        <v>12</v>
      </c>
      <c r="B32" s="45" t="s">
        <v>115</v>
      </c>
      <c r="C32" s="46" t="str">
        <f t="shared" ca="1" si="0"/>
        <v xml:space="preserve">Разборка трубопроводов канализации из полиэтиленовых труб высокой плотности диаметром: 110 мм
100 м трубопровода
КОЭФ. К ПОЗИЦИИ:
Демонтаж (разборка) внутренних санитарно-технических устройств (водопровода, газопровода, канализации, водостоков, отопления, вентиляции) ОЗП=0,4; ЭМ=0,4 к расх.; ЗПМ=0,4; МАТ=0 к расх.; ТЗ=0,4; ТЗМ=0,4
162 руб. НР 98%=128%*(0,85*0,9) от ФОТ (165 руб.)
92 руб.СП 56%=83%*(0,8*0,85) от ФОТ (165 руб.)
</v>
      </c>
      <c r="D32" s="44">
        <v>4.2500000000000003E-2</v>
      </c>
      <c r="E32" s="47" t="s">
        <v>116</v>
      </c>
      <c r="F32" s="47" t="s">
        <v>117</v>
      </c>
      <c r="G32" s="47"/>
      <c r="H32" s="48" t="s">
        <v>118</v>
      </c>
      <c r="I32" s="49">
        <v>166</v>
      </c>
      <c r="J32" s="47">
        <v>165</v>
      </c>
      <c r="K32" s="47"/>
      <c r="L32" s="47" t="str">
        <f>IF(0.0425*0=0," ",TEXT(,ROUND((0.0425*0*3.14),2)))</f>
        <v xml:space="preserve"> </v>
      </c>
      <c r="M32" s="47" t="s">
        <v>119</v>
      </c>
      <c r="N32" s="47">
        <v>1.05</v>
      </c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1" t="s">
        <v>120</v>
      </c>
      <c r="AB32" s="51" t="s">
        <v>121</v>
      </c>
      <c r="AC32" s="51">
        <v>162</v>
      </c>
      <c r="AD32" s="51">
        <v>92</v>
      </c>
      <c r="AE32" s="53" t="s">
        <v>122</v>
      </c>
      <c r="AF32" s="52" t="s">
        <v>123</v>
      </c>
      <c r="AG32" s="51" t="s">
        <v>124</v>
      </c>
      <c r="AH32" s="51"/>
      <c r="AI32" s="51">
        <f>165+0</f>
        <v>165</v>
      </c>
    </row>
    <row r="33" spans="1:35" ht="76.5" x14ac:dyDescent="0.2">
      <c r="A33" s="54">
        <v>13</v>
      </c>
      <c r="B33" s="55" t="s">
        <v>125</v>
      </c>
      <c r="C33" s="56" t="str">
        <f t="shared" ca="1" si="0"/>
        <v xml:space="preserve">Прочистка вентиляционных каналов
100 м канала
3171 руб. НР 63%=74%*0,85 от ФОТ (5034 руб.)
2014 руб.СП 40%=50%*0,8 от ФОТ (5034 руб.)
</v>
      </c>
      <c r="D33" s="54">
        <v>1.92</v>
      </c>
      <c r="E33" s="57" t="s">
        <v>126</v>
      </c>
      <c r="F33" s="57" t="s">
        <v>127</v>
      </c>
      <c r="G33" s="57">
        <v>29.24</v>
      </c>
      <c r="H33" s="58" t="s">
        <v>128</v>
      </c>
      <c r="I33" s="59">
        <v>5539</v>
      </c>
      <c r="J33" s="57">
        <v>5034</v>
      </c>
      <c r="K33" s="57">
        <v>7</v>
      </c>
      <c r="L33" s="57" t="str">
        <f>IF(1.92*29.24=0," ",TEXT(,ROUND((1.92*29.24*8.9),2)))</f>
        <v>499.65</v>
      </c>
      <c r="M33" s="57" t="s">
        <v>129</v>
      </c>
      <c r="N33" s="57" t="s">
        <v>130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1" t="s">
        <v>112</v>
      </c>
      <c r="AB33" s="51" t="s">
        <v>102</v>
      </c>
      <c r="AC33" s="51">
        <v>3171</v>
      </c>
      <c r="AD33" s="51">
        <v>2014</v>
      </c>
      <c r="AE33" s="51"/>
      <c r="AF33" s="52" t="s">
        <v>131</v>
      </c>
      <c r="AG33" s="51" t="s">
        <v>132</v>
      </c>
      <c r="AH33" s="51"/>
      <c r="AI33" s="51">
        <f>5034+0</f>
        <v>5034</v>
      </c>
    </row>
    <row r="34" spans="1:35" ht="25.5" x14ac:dyDescent="0.2">
      <c r="A34" s="92" t="s">
        <v>133</v>
      </c>
      <c r="B34" s="93"/>
      <c r="C34" s="93"/>
      <c r="D34" s="93"/>
      <c r="E34" s="93"/>
      <c r="F34" s="93"/>
      <c r="G34" s="93"/>
      <c r="H34" s="93"/>
      <c r="I34" s="49">
        <v>13807</v>
      </c>
      <c r="J34" s="47">
        <v>8609</v>
      </c>
      <c r="K34" s="47" t="s">
        <v>134</v>
      </c>
      <c r="L34" s="47">
        <v>2380</v>
      </c>
      <c r="M34" s="47"/>
      <c r="N34" s="47" t="s">
        <v>135</v>
      </c>
      <c r="O34" s="18"/>
      <c r="P34" s="19"/>
      <c r="Q34" s="18"/>
      <c r="R34" s="18"/>
      <c r="S34" s="18"/>
      <c r="T34" s="18"/>
      <c r="U34" s="18"/>
      <c r="V34" s="18"/>
      <c r="W34" s="18"/>
      <c r="X34" s="18"/>
      <c r="Y34" s="18"/>
      <c r="Z34" s="18"/>
      <c r="AF34" s="4"/>
    </row>
    <row r="35" spans="1:35" ht="25.5" x14ac:dyDescent="0.2">
      <c r="A35" s="92" t="s">
        <v>136</v>
      </c>
      <c r="B35" s="93"/>
      <c r="C35" s="93"/>
      <c r="D35" s="93"/>
      <c r="E35" s="93"/>
      <c r="F35" s="93"/>
      <c r="G35" s="93"/>
      <c r="H35" s="93"/>
      <c r="I35" s="49">
        <v>183251</v>
      </c>
      <c r="J35" s="47">
        <v>141620</v>
      </c>
      <c r="K35" s="47" t="s">
        <v>137</v>
      </c>
      <c r="L35" s="47">
        <v>17649</v>
      </c>
      <c r="M35" s="47"/>
      <c r="N35" s="47" t="s">
        <v>135</v>
      </c>
      <c r="O35" s="18"/>
      <c r="P35" s="19"/>
      <c r="Q35" s="18"/>
      <c r="R35" s="18"/>
      <c r="S35" s="18"/>
      <c r="T35" s="18"/>
      <c r="U35" s="18"/>
      <c r="V35" s="18"/>
      <c r="W35" s="18"/>
      <c r="X35" s="18"/>
      <c r="Y35" s="18"/>
      <c r="Z35" s="18"/>
      <c r="AF35" s="4"/>
    </row>
    <row r="36" spans="1:35" x14ac:dyDescent="0.2">
      <c r="A36" s="92" t="s">
        <v>138</v>
      </c>
      <c r="B36" s="93"/>
      <c r="C36" s="93"/>
      <c r="D36" s="93"/>
      <c r="E36" s="93"/>
      <c r="F36" s="93"/>
      <c r="G36" s="93"/>
      <c r="H36" s="93"/>
      <c r="I36" s="49">
        <v>108073</v>
      </c>
      <c r="J36" s="47"/>
      <c r="K36" s="47"/>
      <c r="L36" s="47"/>
      <c r="M36" s="47"/>
      <c r="N36" s="47"/>
      <c r="O36" s="18"/>
      <c r="P36" s="19"/>
      <c r="Q36" s="18"/>
      <c r="R36" s="18"/>
      <c r="S36" s="18"/>
      <c r="T36" s="5"/>
      <c r="U36" s="5"/>
      <c r="V36" s="5"/>
      <c r="W36" s="5"/>
      <c r="X36" s="5"/>
      <c r="Y36" s="5"/>
      <c r="Z36" s="5"/>
    </row>
    <row r="37" spans="1:35" x14ac:dyDescent="0.2">
      <c r="A37" s="92" t="s">
        <v>139</v>
      </c>
      <c r="B37" s="93"/>
      <c r="C37" s="93"/>
      <c r="D37" s="93"/>
      <c r="E37" s="93"/>
      <c r="F37" s="93"/>
      <c r="G37" s="93"/>
      <c r="H37" s="93"/>
      <c r="I37" s="49">
        <v>70983</v>
      </c>
      <c r="J37" s="47"/>
      <c r="K37" s="47"/>
      <c r="L37" s="47"/>
      <c r="M37" s="47"/>
      <c r="N37" s="47"/>
      <c r="O37" s="18"/>
      <c r="P37" s="19"/>
      <c r="Q37" s="18"/>
      <c r="R37" s="18"/>
      <c r="S37" s="18"/>
    </row>
    <row r="38" spans="1:35" ht="25.5" x14ac:dyDescent="0.2">
      <c r="A38" s="73" t="s">
        <v>140</v>
      </c>
      <c r="B38" s="74"/>
      <c r="C38" s="74"/>
      <c r="D38" s="74"/>
      <c r="E38" s="74"/>
      <c r="F38" s="74"/>
      <c r="G38" s="74"/>
      <c r="H38" s="74"/>
      <c r="I38" s="59">
        <v>362307</v>
      </c>
      <c r="J38" s="57"/>
      <c r="K38" s="57"/>
      <c r="L38" s="57"/>
      <c r="M38" s="57"/>
      <c r="N38" s="57" t="s">
        <v>135</v>
      </c>
      <c r="O38" s="18"/>
      <c r="P38" s="19"/>
      <c r="Q38" s="18"/>
      <c r="R38" s="18"/>
      <c r="S38" s="18"/>
    </row>
    <row r="39" spans="1:35" ht="21" customHeight="1" x14ac:dyDescent="0.2">
      <c r="A39" s="90" t="s">
        <v>141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</row>
    <row r="40" spans="1:35" ht="114.75" x14ac:dyDescent="0.2">
      <c r="A40" s="44">
        <v>14</v>
      </c>
      <c r="B40" s="45" t="s">
        <v>142</v>
      </c>
      <c r="C40" s="46" t="str">
        <f t="shared" ref="C40:C59" ca="1" si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из кирпича: столбов прямоугольных неармированных при высоте этажа до 4 м
1 м3 кладки
12468 руб. НР 93%=122%*(0,85*0,9) от ФОТ (13406 руб.)
7239 руб.СП 54%=80%*(0,8*0,85) от ФОТ (13406 руб.)
</v>
      </c>
      <c r="D40" s="44">
        <v>8.77</v>
      </c>
      <c r="E40" s="47" t="s">
        <v>143</v>
      </c>
      <c r="F40" s="47" t="s">
        <v>144</v>
      </c>
      <c r="G40" s="47">
        <v>822.65</v>
      </c>
      <c r="H40" s="48" t="s">
        <v>145</v>
      </c>
      <c r="I40" s="49">
        <v>50539</v>
      </c>
      <c r="J40" s="47">
        <v>12370</v>
      </c>
      <c r="K40" s="47" t="s">
        <v>146</v>
      </c>
      <c r="L40" s="47" t="str">
        <f>IF(8.77*822.65=0," ",TEXT(,ROUND((8.77*822.65*4.63),2)))</f>
        <v>33403.79</v>
      </c>
      <c r="M40" s="47" t="s">
        <v>147</v>
      </c>
      <c r="N40" s="47" t="s">
        <v>148</v>
      </c>
      <c r="O40" s="50"/>
      <c r="P40" s="50"/>
      <c r="Q40" s="50"/>
      <c r="R40" s="50"/>
      <c r="S40" s="50"/>
      <c r="T40" s="51"/>
      <c r="U40" s="51"/>
      <c r="V40" s="51"/>
      <c r="W40" s="51"/>
      <c r="X40" s="51"/>
      <c r="Y40" s="51"/>
      <c r="Z40" s="51"/>
      <c r="AA40" s="51" t="s">
        <v>149</v>
      </c>
      <c r="AB40" s="51" t="s">
        <v>150</v>
      </c>
      <c r="AC40" s="51">
        <v>12468</v>
      </c>
      <c r="AD40" s="51">
        <v>7239</v>
      </c>
      <c r="AE40" s="51"/>
      <c r="AF40" s="51" t="s">
        <v>151</v>
      </c>
      <c r="AG40" s="51" t="s">
        <v>152</v>
      </c>
      <c r="AH40" s="51"/>
      <c r="AI40" s="51">
        <f>12370+1036</f>
        <v>13406</v>
      </c>
    </row>
    <row r="41" spans="1:35" ht="89.25" x14ac:dyDescent="0.2">
      <c r="A41" s="44">
        <v>15</v>
      </c>
      <c r="B41" s="45" t="s">
        <v>153</v>
      </c>
      <c r="C41" s="46" t="str">
        <f t="shared" ca="1" si="1"/>
        <v xml:space="preserve">Устройство покрытия из рулонных материалов: насухо без промазки кромок
100 м2 кровли
4018 руб. НР 71%=83%*0,85 от ФОТ (5659 руб.)
2943 руб.СП 52%=65%*0,8 от ФОТ (5659 руб.)
</v>
      </c>
      <c r="D41" s="44">
        <v>9.4940999999999995</v>
      </c>
      <c r="E41" s="47" t="s">
        <v>154</v>
      </c>
      <c r="F41" s="47">
        <v>5.23</v>
      </c>
      <c r="G41" s="47">
        <v>883.33</v>
      </c>
      <c r="H41" s="48" t="s">
        <v>155</v>
      </c>
      <c r="I41" s="49">
        <v>48160</v>
      </c>
      <c r="J41" s="47">
        <v>5659</v>
      </c>
      <c r="K41" s="47">
        <v>571</v>
      </c>
      <c r="L41" s="47" t="str">
        <f>IF(9.4941*883.33=0," ",TEXT(,ROUND((9.4941*883.33*5),2)))</f>
        <v>41932.12</v>
      </c>
      <c r="M41" s="47">
        <v>4.5199999999999996</v>
      </c>
      <c r="N41" s="47">
        <v>42.91</v>
      </c>
      <c r="O41" s="50"/>
      <c r="P41" s="50"/>
      <c r="Q41" s="50"/>
      <c r="R41" s="50"/>
      <c r="S41" s="50"/>
      <c r="T41" s="51"/>
      <c r="U41" s="51"/>
      <c r="V41" s="51"/>
      <c r="W41" s="51"/>
      <c r="X41" s="51"/>
      <c r="Y41" s="51"/>
      <c r="Z41" s="51"/>
      <c r="AA41" s="51" t="s">
        <v>41</v>
      </c>
      <c r="AB41" s="51" t="s">
        <v>42</v>
      </c>
      <c r="AC41" s="51">
        <v>4018</v>
      </c>
      <c r="AD41" s="51">
        <v>2943</v>
      </c>
      <c r="AE41" s="51"/>
      <c r="AF41" s="51" t="s">
        <v>156</v>
      </c>
      <c r="AG41" s="51" t="s">
        <v>58</v>
      </c>
      <c r="AH41" s="51"/>
      <c r="AI41" s="51">
        <f>5659+0</f>
        <v>5659</v>
      </c>
    </row>
    <row r="42" spans="1:35" ht="63.75" x14ac:dyDescent="0.2">
      <c r="A42" s="44">
        <v>16</v>
      </c>
      <c r="B42" s="45" t="s">
        <v>157</v>
      </c>
      <c r="C42" s="46" t="str">
        <f t="shared" ca="1" si="1"/>
        <v xml:space="preserve">Рубероид кровельный с крупнозернистой посыпкой марки: РКК-350б
м2
</v>
      </c>
      <c r="D42" s="44">
        <v>-1092</v>
      </c>
      <c r="E42" s="47">
        <v>7.46</v>
      </c>
      <c r="F42" s="47"/>
      <c r="G42" s="47">
        <v>7.46</v>
      </c>
      <c r="H42" s="48" t="s">
        <v>158</v>
      </c>
      <c r="I42" s="49">
        <v>-40722</v>
      </c>
      <c r="J42" s="47"/>
      <c r="K42" s="47"/>
      <c r="L42" s="47" t="str">
        <f>IF(-1092*7.46=0," ",TEXT(,ROUND((-1092*7.46*4.999),2)))</f>
        <v>-40723.45</v>
      </c>
      <c r="M42" s="47"/>
      <c r="N42" s="47"/>
      <c r="O42" s="50"/>
      <c r="P42" s="50"/>
      <c r="Q42" s="50"/>
      <c r="R42" s="50"/>
      <c r="S42" s="50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 t="s">
        <v>159</v>
      </c>
      <c r="AG42" s="51" t="s">
        <v>160</v>
      </c>
      <c r="AH42" s="51"/>
      <c r="AI42" s="51">
        <f>0+0</f>
        <v>0</v>
      </c>
    </row>
    <row r="43" spans="1:35" ht="63.75" x14ac:dyDescent="0.2">
      <c r="A43" s="44">
        <v>17</v>
      </c>
      <c r="B43" s="45" t="s">
        <v>161</v>
      </c>
      <c r="C43" s="46" t="str">
        <f t="shared" ca="1" si="1"/>
        <v xml:space="preserve">Изоспан: Двухслойная паропроницаемая мембрана марки В 13,60/5,58=2,44
м2
</v>
      </c>
      <c r="D43" s="44">
        <v>1092</v>
      </c>
      <c r="E43" s="47">
        <v>2.44</v>
      </c>
      <c r="F43" s="47"/>
      <c r="G43" s="47">
        <v>2.44</v>
      </c>
      <c r="H43" s="48" t="s">
        <v>162</v>
      </c>
      <c r="I43" s="49">
        <v>14865</v>
      </c>
      <c r="J43" s="47"/>
      <c r="K43" s="47"/>
      <c r="L43" s="47" t="str">
        <f>IF(1092*2.44=0," ",TEXT(,ROUND((1092*2.44*5.58),2)))</f>
        <v>14867.8</v>
      </c>
      <c r="M43" s="47"/>
      <c r="N43" s="47"/>
      <c r="O43" s="50"/>
      <c r="P43" s="50"/>
      <c r="Q43" s="50"/>
      <c r="R43" s="50"/>
      <c r="S43" s="50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 t="s">
        <v>163</v>
      </c>
      <c r="AG43" s="51" t="s">
        <v>160</v>
      </c>
      <c r="AH43" s="51"/>
      <c r="AI43" s="51">
        <f>0+0</f>
        <v>0</v>
      </c>
    </row>
    <row r="44" spans="1:35" ht="153" x14ac:dyDescent="0.2">
      <c r="A44" s="44">
        <v>18</v>
      </c>
      <c r="B44" s="45" t="s">
        <v>164</v>
      </c>
      <c r="C44" s="46" t="str">
        <f t="shared" ca="1" si="1"/>
        <v xml:space="preserve">Утепление покрытий плитами: из минеральной ваты или перлита на битумной мастике в один слой
100 м2 утепляемого покрытия
КОЭФ. К ПОЗИЦИИ:
материалы МАТ=0 к расх.
60475 руб. НР 92%=120%*(0,85*0,9) от ФОТ (65734 руб.)
28923 руб.СП 44%=65%*(0,8*0,85) от ФОТ (65734 руб.)
</v>
      </c>
      <c r="D44" s="44">
        <v>7.8741000000000003</v>
      </c>
      <c r="E44" s="47" t="s">
        <v>165</v>
      </c>
      <c r="F44" s="47" t="s">
        <v>166</v>
      </c>
      <c r="G44" s="47"/>
      <c r="H44" s="48" t="s">
        <v>167</v>
      </c>
      <c r="I44" s="49">
        <v>76240</v>
      </c>
      <c r="J44" s="47">
        <v>64517</v>
      </c>
      <c r="K44" s="47" t="s">
        <v>168</v>
      </c>
      <c r="L44" s="47" t="str">
        <f>IF(7.8741*0=0," ",TEXT(,ROUND((7.8741*0*6.8),2)))</f>
        <v xml:space="preserve"> </v>
      </c>
      <c r="M44" s="47" t="s">
        <v>169</v>
      </c>
      <c r="N44" s="47" t="s">
        <v>170</v>
      </c>
      <c r="O44" s="50"/>
      <c r="P44" s="50"/>
      <c r="Q44" s="50"/>
      <c r="R44" s="50"/>
      <c r="S44" s="50"/>
      <c r="T44" s="51"/>
      <c r="U44" s="51"/>
      <c r="V44" s="51"/>
      <c r="W44" s="51"/>
      <c r="X44" s="51"/>
      <c r="Y44" s="51"/>
      <c r="Z44" s="51"/>
      <c r="AA44" s="51" t="s">
        <v>80</v>
      </c>
      <c r="AB44" s="51" t="s">
        <v>81</v>
      </c>
      <c r="AC44" s="51">
        <v>60475</v>
      </c>
      <c r="AD44" s="51">
        <v>28923</v>
      </c>
      <c r="AE44" s="53" t="s">
        <v>171</v>
      </c>
      <c r="AF44" s="51" t="s">
        <v>172</v>
      </c>
      <c r="AG44" s="51" t="s">
        <v>173</v>
      </c>
      <c r="AH44" s="51"/>
      <c r="AI44" s="51">
        <f>64517+1217</f>
        <v>65734</v>
      </c>
    </row>
    <row r="45" spans="1:35" ht="51" x14ac:dyDescent="0.2">
      <c r="A45" s="44">
        <v>19</v>
      </c>
      <c r="B45" s="45" t="s">
        <v>174</v>
      </c>
      <c r="C45" s="46" t="str">
        <f t="shared" ca="1" si="1"/>
        <v xml:space="preserve">Котлы битумные передвижные 400 л
маш.-ч
</v>
      </c>
      <c r="D45" s="44">
        <v>-14.49</v>
      </c>
      <c r="E45" s="47">
        <v>30</v>
      </c>
      <c r="F45" s="47">
        <v>30</v>
      </c>
      <c r="G45" s="47"/>
      <c r="H45" s="48" t="s">
        <v>175</v>
      </c>
      <c r="I45" s="49">
        <v>-2954</v>
      </c>
      <c r="J45" s="47"/>
      <c r="K45" s="47">
        <v>-2954</v>
      </c>
      <c r="L45" s="47" t="str">
        <f>IF(-14.49*0=0," ",TEXT(,ROUND((-14.49*0*1),2)))</f>
        <v xml:space="preserve"> </v>
      </c>
      <c r="M45" s="47"/>
      <c r="N45" s="47"/>
      <c r="O45" s="50"/>
      <c r="P45" s="50"/>
      <c r="Q45" s="50"/>
      <c r="R45" s="50"/>
      <c r="S45" s="50"/>
      <c r="T45" s="51"/>
      <c r="U45" s="51"/>
      <c r="V45" s="51"/>
      <c r="W45" s="51"/>
      <c r="X45" s="51"/>
      <c r="Y45" s="51"/>
      <c r="Z45" s="51"/>
      <c r="AA45" s="51" t="s">
        <v>176</v>
      </c>
      <c r="AB45" s="51" t="s">
        <v>177</v>
      </c>
      <c r="AC45" s="51"/>
      <c r="AD45" s="51"/>
      <c r="AE45" s="51"/>
      <c r="AF45" s="51" t="s">
        <v>178</v>
      </c>
      <c r="AG45" s="51" t="s">
        <v>179</v>
      </c>
      <c r="AH45" s="51"/>
      <c r="AI45" s="51">
        <f>0+0</f>
        <v>0</v>
      </c>
    </row>
    <row r="46" spans="1:35" ht="178.5" x14ac:dyDescent="0.2">
      <c r="A46" s="44">
        <v>20</v>
      </c>
      <c r="B46" s="45" t="s">
        <v>180</v>
      </c>
      <c r="C46" s="46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Всего толщ. 250 мм ПЗ=4 (ОЗП=4; ЭМ=4 к расх.; ЗПМ=4; МАТ=4 к расх.; ТЗ=4; ТЗМ=4);
материалы МАТ=0 к расх.
188237 руб. НР 92%=120%*(0,85*0,9) от ФОТ (204605 руб.)
90026 руб.СП 44%=65%*(0,8*0,85) от ФОТ (204605 руб.)
</v>
      </c>
      <c r="D46" s="44">
        <v>7.8741000000000003</v>
      </c>
      <c r="E46" s="47" t="s">
        <v>181</v>
      </c>
      <c r="F46" s="47" t="s">
        <v>182</v>
      </c>
      <c r="G46" s="47"/>
      <c r="H46" s="48" t="s">
        <v>167</v>
      </c>
      <c r="I46" s="49">
        <v>244682</v>
      </c>
      <c r="J46" s="47">
        <v>199785</v>
      </c>
      <c r="K46" s="47" t="s">
        <v>183</v>
      </c>
      <c r="L46" s="47" t="str">
        <f>IF(7.8741*0=0," ",TEXT(,ROUND((7.8741*0*6.8),2)))</f>
        <v xml:space="preserve"> </v>
      </c>
      <c r="M46" s="47" t="s">
        <v>184</v>
      </c>
      <c r="N46" s="47" t="s">
        <v>185</v>
      </c>
      <c r="O46" s="50"/>
      <c r="P46" s="50"/>
      <c r="Q46" s="50"/>
      <c r="R46" s="50"/>
      <c r="S46" s="50"/>
      <c r="T46" s="51"/>
      <c r="U46" s="51"/>
      <c r="V46" s="51"/>
      <c r="W46" s="51"/>
      <c r="X46" s="51"/>
      <c r="Y46" s="51"/>
      <c r="Z46" s="51"/>
      <c r="AA46" s="51" t="s">
        <v>80</v>
      </c>
      <c r="AB46" s="51" t="s">
        <v>81</v>
      </c>
      <c r="AC46" s="51">
        <v>188237</v>
      </c>
      <c r="AD46" s="51">
        <v>90026</v>
      </c>
      <c r="AE46" s="53" t="s">
        <v>186</v>
      </c>
      <c r="AF46" s="51" t="s">
        <v>187</v>
      </c>
      <c r="AG46" s="51" t="s">
        <v>173</v>
      </c>
      <c r="AH46" s="51"/>
      <c r="AI46" s="51">
        <f>199785+4820</f>
        <v>204605</v>
      </c>
    </row>
    <row r="47" spans="1:35" ht="51" x14ac:dyDescent="0.2">
      <c r="A47" s="44">
        <v>21</v>
      </c>
      <c r="B47" s="45" t="s">
        <v>174</v>
      </c>
      <c r="C47" s="46" t="str">
        <f t="shared" ca="1" si="1"/>
        <v xml:space="preserve">Котлы битумные передвижные 400 л
маш.-ч
</v>
      </c>
      <c r="D47" s="44">
        <v>-51.97</v>
      </c>
      <c r="E47" s="47">
        <v>30</v>
      </c>
      <c r="F47" s="47">
        <v>30</v>
      </c>
      <c r="G47" s="47"/>
      <c r="H47" s="48" t="s">
        <v>175</v>
      </c>
      <c r="I47" s="49">
        <v>-10583</v>
      </c>
      <c r="J47" s="47"/>
      <c r="K47" s="47">
        <v>-10583</v>
      </c>
      <c r="L47" s="47" t="str">
        <f>IF(-51.97*0=0," ",TEXT(,ROUND((-51.97*0*1),2)))</f>
        <v xml:space="preserve"> </v>
      </c>
      <c r="M47" s="47"/>
      <c r="N47" s="47"/>
      <c r="O47" s="50"/>
      <c r="P47" s="50"/>
      <c r="Q47" s="50"/>
      <c r="R47" s="50"/>
      <c r="S47" s="50"/>
      <c r="T47" s="51"/>
      <c r="U47" s="51"/>
      <c r="V47" s="51"/>
      <c r="W47" s="51"/>
      <c r="X47" s="51"/>
      <c r="Y47" s="51"/>
      <c r="Z47" s="51"/>
      <c r="AA47" s="51" t="s">
        <v>176</v>
      </c>
      <c r="AB47" s="51" t="s">
        <v>177</v>
      </c>
      <c r="AC47" s="51"/>
      <c r="AD47" s="51"/>
      <c r="AE47" s="51"/>
      <c r="AF47" s="51" t="s">
        <v>178</v>
      </c>
      <c r="AG47" s="51" t="s">
        <v>179</v>
      </c>
      <c r="AH47" s="51"/>
      <c r="AI47" s="51">
        <f>0+0</f>
        <v>0</v>
      </c>
    </row>
    <row r="48" spans="1:35" ht="178.5" x14ac:dyDescent="0.2">
      <c r="A48" s="44">
        <v>22</v>
      </c>
      <c r="B48" s="45" t="s">
        <v>188</v>
      </c>
      <c r="C48" s="46" t="str">
        <f t="shared" ca="1" si="1"/>
        <v xml:space="preserve">Утепление покрытий плитами: на каждый последующий слой добавлять к расценке 12-01-013-03
100 м2 утепляемого покрытия
КОЭФ. К ПОЗИЦИИ:
В 2 слоя ПЗ=2 (ОЗП=2; ЭМ=2 к расх.; ЗПМ=2; МАТ=2 к расх.; ТЗ=2; ТЗМ=2);
материалы МАТ=0 к расх.
18888 руб. НР 92%=120%*(0,85*0,9) от ФОТ (20530 руб.)
9033 руб.СП 44%=65%*(0,8*0,85) от ФОТ (20530 руб.)
</v>
      </c>
      <c r="D48" s="44">
        <v>1.58</v>
      </c>
      <c r="E48" s="47" t="s">
        <v>189</v>
      </c>
      <c r="F48" s="47" t="s">
        <v>190</v>
      </c>
      <c r="G48" s="47"/>
      <c r="H48" s="48" t="s">
        <v>167</v>
      </c>
      <c r="I48" s="49">
        <v>24558</v>
      </c>
      <c r="J48" s="47">
        <v>20053</v>
      </c>
      <c r="K48" s="47" t="s">
        <v>191</v>
      </c>
      <c r="L48" s="47" t="str">
        <f>IF(1.58*0=0," ",TEXT(,ROUND((1.58*0*6.8),2)))</f>
        <v xml:space="preserve"> </v>
      </c>
      <c r="M48" s="47" t="s">
        <v>192</v>
      </c>
      <c r="N48" s="47" t="s">
        <v>193</v>
      </c>
      <c r="O48" s="50"/>
      <c r="P48" s="50"/>
      <c r="Q48" s="50"/>
      <c r="R48" s="50"/>
      <c r="S48" s="50"/>
      <c r="T48" s="51"/>
      <c r="U48" s="51"/>
      <c r="V48" s="51"/>
      <c r="W48" s="51"/>
      <c r="X48" s="51"/>
      <c r="Y48" s="51"/>
      <c r="Z48" s="51"/>
      <c r="AA48" s="51" t="s">
        <v>80</v>
      </c>
      <c r="AB48" s="51" t="s">
        <v>81</v>
      </c>
      <c r="AC48" s="51">
        <v>18888</v>
      </c>
      <c r="AD48" s="51">
        <v>9033</v>
      </c>
      <c r="AE48" s="53" t="s">
        <v>194</v>
      </c>
      <c r="AF48" s="51" t="s">
        <v>187</v>
      </c>
      <c r="AG48" s="51" t="s">
        <v>173</v>
      </c>
      <c r="AH48" s="51"/>
      <c r="AI48" s="51">
        <f>20053+477</f>
        <v>20530</v>
      </c>
    </row>
    <row r="49" spans="1:35" ht="51" x14ac:dyDescent="0.2">
      <c r="A49" s="44">
        <v>23</v>
      </c>
      <c r="B49" s="45" t="s">
        <v>174</v>
      </c>
      <c r="C49" s="46" t="str">
        <f t="shared" ca="1" si="1"/>
        <v xml:space="preserve">Котлы битумные передвижные 400 л
маш.-ч
</v>
      </c>
      <c r="D49" s="44">
        <v>-5.21</v>
      </c>
      <c r="E49" s="47">
        <v>30</v>
      </c>
      <c r="F49" s="47">
        <v>30</v>
      </c>
      <c r="G49" s="47"/>
      <c r="H49" s="48" t="s">
        <v>175</v>
      </c>
      <c r="I49" s="49">
        <v>-1059</v>
      </c>
      <c r="J49" s="47"/>
      <c r="K49" s="47">
        <v>-1059</v>
      </c>
      <c r="L49" s="47" t="str">
        <f>IF(-5.21*0=0," ",TEXT(,ROUND((-5.21*0*1),2)))</f>
        <v xml:space="preserve"> </v>
      </c>
      <c r="M49" s="47"/>
      <c r="N49" s="47"/>
      <c r="O49" s="50"/>
      <c r="P49" s="50"/>
      <c r="Q49" s="50"/>
      <c r="R49" s="50"/>
      <c r="S49" s="50"/>
      <c r="T49" s="51"/>
      <c r="U49" s="51"/>
      <c r="V49" s="51"/>
      <c r="W49" s="51"/>
      <c r="X49" s="51"/>
      <c r="Y49" s="51"/>
      <c r="Z49" s="51"/>
      <c r="AA49" s="51" t="s">
        <v>176</v>
      </c>
      <c r="AB49" s="51" t="s">
        <v>177</v>
      </c>
      <c r="AC49" s="51"/>
      <c r="AD49" s="51"/>
      <c r="AE49" s="51"/>
      <c r="AF49" s="51" t="s">
        <v>178</v>
      </c>
      <c r="AG49" s="51" t="s">
        <v>179</v>
      </c>
      <c r="AH49" s="51"/>
      <c r="AI49" s="51">
        <f>0+0</f>
        <v>0</v>
      </c>
    </row>
    <row r="50" spans="1:35" ht="76.5" x14ac:dyDescent="0.2">
      <c r="A50" s="44">
        <v>24</v>
      </c>
      <c r="B50" s="45" t="s">
        <v>195</v>
      </c>
      <c r="C50" s="46" t="str">
        <f t="shared" ca="1" si="1"/>
        <v xml:space="preserve">Плиты теплоизоляционные энергетические гидрофобизированные базальтовые: ПТЭ-125 , размером 2000х1000х50 мм 3828,81/5,58=686,17
м3
</v>
      </c>
      <c r="D50" s="44" t="s">
        <v>196</v>
      </c>
      <c r="E50" s="47">
        <v>686.17</v>
      </c>
      <c r="F50" s="47"/>
      <c r="G50" s="47">
        <v>686.17</v>
      </c>
      <c r="H50" s="48" t="s">
        <v>162</v>
      </c>
      <c r="I50" s="49">
        <v>838624</v>
      </c>
      <c r="J50" s="47"/>
      <c r="K50" s="47"/>
      <c r="L50" s="47" t="str">
        <f>IF(219.0295*686.17=0," ",TEXT(,ROUND((219.0295*686.17*5.58),2)))</f>
        <v>838626.41</v>
      </c>
      <c r="M50" s="47"/>
      <c r="N50" s="47"/>
      <c r="O50" s="50"/>
      <c r="P50" s="50"/>
      <c r="Q50" s="50"/>
      <c r="R50" s="50"/>
      <c r="S50" s="50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 t="s">
        <v>197</v>
      </c>
      <c r="AG50" s="51" t="s">
        <v>198</v>
      </c>
      <c r="AH50" s="51"/>
      <c r="AI50" s="51">
        <f>0+0</f>
        <v>0</v>
      </c>
    </row>
    <row r="51" spans="1:35" ht="89.25" x14ac:dyDescent="0.2">
      <c r="A51" s="44">
        <v>25</v>
      </c>
      <c r="B51" s="45" t="s">
        <v>153</v>
      </c>
      <c r="C51" s="46" t="str">
        <f t="shared" ca="1" si="1"/>
        <v xml:space="preserve">Устройство покрытия из рулонных материалов: насухо без промазки кромок
100 м2 кровли
3328 руб. НР 71%=83%*0,85 от ФОТ (4688 руб.)
2438 руб.СП 52%=65%*0,8 от ФОТ (4688 руб.)
</v>
      </c>
      <c r="D51" s="44">
        <v>7.8741000000000003</v>
      </c>
      <c r="E51" s="47" t="s">
        <v>154</v>
      </c>
      <c r="F51" s="47">
        <v>5.23</v>
      </c>
      <c r="G51" s="47">
        <v>883.33</v>
      </c>
      <c r="H51" s="48" t="s">
        <v>155</v>
      </c>
      <c r="I51" s="49">
        <v>39932</v>
      </c>
      <c r="J51" s="47">
        <v>4688</v>
      </c>
      <c r="K51" s="47">
        <v>468</v>
      </c>
      <c r="L51" s="47" t="str">
        <f>IF(7.8741*883.33=0," ",TEXT(,ROUND((7.8741*883.33*5),2)))</f>
        <v>34777.14</v>
      </c>
      <c r="M51" s="47">
        <v>4.5199999999999996</v>
      </c>
      <c r="N51" s="47">
        <v>35.590000000000003</v>
      </c>
      <c r="O51" s="50"/>
      <c r="P51" s="50"/>
      <c r="Q51" s="50"/>
      <c r="R51" s="50"/>
      <c r="S51" s="50"/>
      <c r="T51" s="51"/>
      <c r="U51" s="51"/>
      <c r="V51" s="51"/>
      <c r="W51" s="51"/>
      <c r="X51" s="51"/>
      <c r="Y51" s="51"/>
      <c r="Z51" s="51"/>
      <c r="AA51" s="51" t="s">
        <v>41</v>
      </c>
      <c r="AB51" s="51" t="s">
        <v>42</v>
      </c>
      <c r="AC51" s="51">
        <v>3328</v>
      </c>
      <c r="AD51" s="51">
        <v>2438</v>
      </c>
      <c r="AE51" s="51"/>
      <c r="AF51" s="51" t="s">
        <v>156</v>
      </c>
      <c r="AG51" s="51" t="s">
        <v>58</v>
      </c>
      <c r="AH51" s="51"/>
      <c r="AI51" s="51">
        <f>4688+0</f>
        <v>4688</v>
      </c>
    </row>
    <row r="52" spans="1:35" ht="63.75" x14ac:dyDescent="0.2">
      <c r="A52" s="44">
        <v>26</v>
      </c>
      <c r="B52" s="45" t="s">
        <v>157</v>
      </c>
      <c r="C52" s="46" t="str">
        <f t="shared" ca="1" si="1"/>
        <v xml:space="preserve">Рубероид кровельный с крупнозернистой посыпкой марки: РКК-350б
м2
</v>
      </c>
      <c r="D52" s="44">
        <v>-905.5</v>
      </c>
      <c r="E52" s="47">
        <v>7.46</v>
      </c>
      <c r="F52" s="47"/>
      <c r="G52" s="47">
        <v>7.46</v>
      </c>
      <c r="H52" s="48" t="s">
        <v>158</v>
      </c>
      <c r="I52" s="49">
        <v>-33768</v>
      </c>
      <c r="J52" s="47"/>
      <c r="K52" s="47"/>
      <c r="L52" s="47" t="str">
        <f>IF(-905.5*7.46=0," ",TEXT(,ROUND((-905.5*7.46*4.999),2)))</f>
        <v>-33768.39</v>
      </c>
      <c r="M52" s="47"/>
      <c r="N52" s="47"/>
      <c r="O52" s="50"/>
      <c r="P52" s="50"/>
      <c r="Q52" s="50"/>
      <c r="R52" s="50"/>
      <c r="S52" s="50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 t="s">
        <v>159</v>
      </c>
      <c r="AG52" s="51" t="s">
        <v>160</v>
      </c>
      <c r="AH52" s="51"/>
      <c r="AI52" s="51">
        <f>0+0</f>
        <v>0</v>
      </c>
    </row>
    <row r="53" spans="1:35" ht="63.75" x14ac:dyDescent="0.2">
      <c r="A53" s="44">
        <v>27</v>
      </c>
      <c r="B53" s="45" t="s">
        <v>199</v>
      </c>
      <c r="C53" s="46" t="str">
        <f t="shared" ca="1" si="1"/>
        <v xml:space="preserve">Изоспан: Защитный материал марки А 19,42/5,58=3,48
м2
</v>
      </c>
      <c r="D53" s="44">
        <v>905.5</v>
      </c>
      <c r="E53" s="47">
        <v>3.48</v>
      </c>
      <c r="F53" s="47"/>
      <c r="G53" s="47">
        <v>3.48</v>
      </c>
      <c r="H53" s="48" t="s">
        <v>162</v>
      </c>
      <c r="I53" s="49">
        <v>17583</v>
      </c>
      <c r="J53" s="47"/>
      <c r="K53" s="47"/>
      <c r="L53" s="47" t="str">
        <f>IF(905.5*3.48=0," ",TEXT(,ROUND((905.5*3.48*5.58),2)))</f>
        <v>17583.36</v>
      </c>
      <c r="M53" s="47"/>
      <c r="N53" s="47"/>
      <c r="O53" s="50"/>
      <c r="P53" s="50"/>
      <c r="Q53" s="50"/>
      <c r="R53" s="50"/>
      <c r="S53" s="50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 t="s">
        <v>200</v>
      </c>
      <c r="AG53" s="51" t="s">
        <v>160</v>
      </c>
      <c r="AH53" s="51"/>
      <c r="AI53" s="51">
        <f>0+0</f>
        <v>0</v>
      </c>
    </row>
    <row r="54" spans="1:35" ht="102" x14ac:dyDescent="0.2">
      <c r="A54" s="44">
        <v>28</v>
      </c>
      <c r="B54" s="45" t="s">
        <v>201</v>
      </c>
      <c r="C54" s="46" t="str">
        <f t="shared" ca="1" si="1"/>
        <v xml:space="preserve">Укладка ходовых досок
100 м ходов
1155 руб. НР 90%=118%*(0,85*0,9) от ФОТ (1283 руб.)
552 руб.СП 43%=63%*(0,8*0,85) от ФОТ (1283 руб.)
</v>
      </c>
      <c r="D54" s="44">
        <v>2.0499999999999998</v>
      </c>
      <c r="E54" s="47" t="s">
        <v>202</v>
      </c>
      <c r="F54" s="47" t="s">
        <v>203</v>
      </c>
      <c r="G54" s="47">
        <v>1007.15</v>
      </c>
      <c r="H54" s="48" t="s">
        <v>204</v>
      </c>
      <c r="I54" s="49">
        <v>12618</v>
      </c>
      <c r="J54" s="47">
        <v>1234</v>
      </c>
      <c r="K54" s="47" t="s">
        <v>205</v>
      </c>
      <c r="L54" s="47" t="str">
        <f>IF(2.05*1007.15=0," ",TEXT(,ROUND((2.05*1007.15*5.34),2)))</f>
        <v>11025.27</v>
      </c>
      <c r="M54" s="47" t="s">
        <v>206</v>
      </c>
      <c r="N54" s="47" t="s">
        <v>207</v>
      </c>
      <c r="O54" s="50"/>
      <c r="P54" s="50"/>
      <c r="Q54" s="50"/>
      <c r="R54" s="50"/>
      <c r="S54" s="50"/>
      <c r="T54" s="51"/>
      <c r="U54" s="51"/>
      <c r="V54" s="51"/>
      <c r="W54" s="51"/>
      <c r="X54" s="51"/>
      <c r="Y54" s="51"/>
      <c r="Z54" s="51"/>
      <c r="AA54" s="51" t="s">
        <v>208</v>
      </c>
      <c r="AB54" s="51" t="s">
        <v>209</v>
      </c>
      <c r="AC54" s="51">
        <v>1155</v>
      </c>
      <c r="AD54" s="51">
        <v>552</v>
      </c>
      <c r="AE54" s="51"/>
      <c r="AF54" s="51" t="s">
        <v>210</v>
      </c>
      <c r="AG54" s="51" t="s">
        <v>211</v>
      </c>
      <c r="AH54" s="51"/>
      <c r="AI54" s="51">
        <f>1234+49</f>
        <v>1283</v>
      </c>
    </row>
    <row r="55" spans="1:35" ht="63.75" x14ac:dyDescent="0.2">
      <c r="A55" s="44">
        <v>29</v>
      </c>
      <c r="B55" s="45" t="s">
        <v>212</v>
      </c>
      <c r="C55" s="46" t="str">
        <f t="shared" ca="1" si="1"/>
        <v xml:space="preserve">Доски необрезные хвойных пород длиной: 4-6,5 м, все ширины, толщиной 32-40 мм, III сорта
м3
</v>
      </c>
      <c r="D55" s="44">
        <v>-2.46</v>
      </c>
      <c r="E55" s="47">
        <v>832.7</v>
      </c>
      <c r="F55" s="47"/>
      <c r="G55" s="47">
        <v>832.7</v>
      </c>
      <c r="H55" s="48" t="s">
        <v>213</v>
      </c>
      <c r="I55" s="49">
        <v>-10975</v>
      </c>
      <c r="J55" s="47"/>
      <c r="K55" s="47"/>
      <c r="L55" s="47" t="str">
        <f>IF(-2.46*832.7=0," ",TEXT(,ROUND((-2.46*832.7*5.359),2)))</f>
        <v>-10977.6</v>
      </c>
      <c r="M55" s="47"/>
      <c r="N55" s="47"/>
      <c r="O55" s="50"/>
      <c r="P55" s="50"/>
      <c r="Q55" s="50"/>
      <c r="R55" s="50"/>
      <c r="S55" s="50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 t="s">
        <v>214</v>
      </c>
      <c r="AG55" s="51" t="s">
        <v>198</v>
      </c>
      <c r="AH55" s="51"/>
      <c r="AI55" s="51">
        <f>0+0</f>
        <v>0</v>
      </c>
    </row>
    <row r="56" spans="1:35" ht="76.5" x14ac:dyDescent="0.2">
      <c r="A56" s="44">
        <v>30</v>
      </c>
      <c r="B56" s="45" t="s">
        <v>215</v>
      </c>
      <c r="C56" s="46" t="str">
        <f t="shared" ca="1" si="1"/>
        <v xml:space="preserve">Доски обрезные хвойных пород длиной: 4-6,5 м, шириной 75-150 мм, толщиной 44 мм и более, II сорта
м3
</v>
      </c>
      <c r="D56" s="44">
        <v>4.0999999999999996</v>
      </c>
      <c r="E56" s="47">
        <v>1320</v>
      </c>
      <c r="F56" s="47"/>
      <c r="G56" s="47">
        <v>1320</v>
      </c>
      <c r="H56" s="48" t="s">
        <v>216</v>
      </c>
      <c r="I56" s="49">
        <v>22492</v>
      </c>
      <c r="J56" s="47"/>
      <c r="K56" s="47"/>
      <c r="L56" s="47" t="str">
        <f>IF(4.1*1320=0," ",TEXT(,ROUND((4.1*1320*4.156),2)))</f>
        <v>22492.27</v>
      </c>
      <c r="M56" s="47"/>
      <c r="N56" s="47"/>
      <c r="O56" s="50"/>
      <c r="P56" s="50"/>
      <c r="Q56" s="50"/>
      <c r="R56" s="50"/>
      <c r="S56" s="50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 t="s">
        <v>217</v>
      </c>
      <c r="AG56" s="51" t="s">
        <v>198</v>
      </c>
      <c r="AH56" s="51"/>
      <c r="AI56" s="51">
        <f>0+0</f>
        <v>0</v>
      </c>
    </row>
    <row r="57" spans="1:35" ht="89.25" x14ac:dyDescent="0.2">
      <c r="A57" s="44">
        <v>31</v>
      </c>
      <c r="B57" s="45" t="s">
        <v>218</v>
      </c>
      <c r="C57" s="46" t="str">
        <f t="shared" ca="1" si="1"/>
        <v xml:space="preserve">Установка элементов каркаса: из брусьев
1 м3 древесины в конструкции
326 руб. НР 90%=118%*(0,85*0,9) от ФОТ (362 руб.)
156 руб.СП 43%=63%*(0,8*0,85) от ФОТ (362 руб.)
</v>
      </c>
      <c r="D57" s="44">
        <v>0.1</v>
      </c>
      <c r="E57" s="47" t="s">
        <v>219</v>
      </c>
      <c r="F57" s="47">
        <v>33.51</v>
      </c>
      <c r="G57" s="47">
        <v>2189</v>
      </c>
      <c r="H57" s="48" t="s">
        <v>220</v>
      </c>
      <c r="I57" s="49">
        <v>1144</v>
      </c>
      <c r="J57" s="47">
        <v>362</v>
      </c>
      <c r="K57" s="47">
        <v>44</v>
      </c>
      <c r="L57" s="47" t="str">
        <f>IF(0.1*2189=0," ",TEXT(,ROUND((0.1*2189*3.37),2)))</f>
        <v>737.69</v>
      </c>
      <c r="M57" s="47">
        <v>22.5</v>
      </c>
      <c r="N57" s="47">
        <v>2.25</v>
      </c>
      <c r="O57" s="50"/>
      <c r="P57" s="50"/>
      <c r="Q57" s="50"/>
      <c r="R57" s="50"/>
      <c r="S57" s="50"/>
      <c r="T57" s="51"/>
      <c r="U57" s="51"/>
      <c r="V57" s="51"/>
      <c r="W57" s="51"/>
      <c r="X57" s="51"/>
      <c r="Y57" s="51"/>
      <c r="Z57" s="51"/>
      <c r="AA57" s="51" t="s">
        <v>208</v>
      </c>
      <c r="AB57" s="51" t="s">
        <v>209</v>
      </c>
      <c r="AC57" s="51">
        <v>326</v>
      </c>
      <c r="AD57" s="51">
        <v>156</v>
      </c>
      <c r="AE57" s="51"/>
      <c r="AF57" s="51" t="s">
        <v>221</v>
      </c>
      <c r="AG57" s="51" t="s">
        <v>222</v>
      </c>
      <c r="AH57" s="51"/>
      <c r="AI57" s="51">
        <f>362+0</f>
        <v>362</v>
      </c>
    </row>
    <row r="58" spans="1:35" ht="102" x14ac:dyDescent="0.2">
      <c r="A58" s="44">
        <v>32</v>
      </c>
      <c r="B58" s="45" t="s">
        <v>223</v>
      </c>
      <c r="C58" s="46" t="str">
        <f t="shared" ca="1" si="1"/>
        <v xml:space="preserve">Установка противопожарных дверей: однопольных глухих
1 м2 проема
352 руб. НР 69%=90%*(0,85*0,9) от ФОТ (510 руб.)
296 руб.СП 58%=85%*(0,8*0,85) от ФОТ (510 руб.)
</v>
      </c>
      <c r="D58" s="44">
        <v>1.28</v>
      </c>
      <c r="E58" s="47" t="s">
        <v>224</v>
      </c>
      <c r="F58" s="47">
        <v>10.199999999999999</v>
      </c>
      <c r="G58" s="47">
        <v>60.66</v>
      </c>
      <c r="H58" s="48" t="s">
        <v>225</v>
      </c>
      <c r="I58" s="49">
        <v>992</v>
      </c>
      <c r="J58" s="47">
        <v>510</v>
      </c>
      <c r="K58" s="47">
        <v>102</v>
      </c>
      <c r="L58" s="47" t="str">
        <f>IF(1.28*60.66=0," ",TEXT(,ROUND((1.28*60.66*4.87),2)))</f>
        <v>378.13</v>
      </c>
      <c r="M58" s="47">
        <v>2.0699999999999998</v>
      </c>
      <c r="N58" s="47">
        <v>2.65</v>
      </c>
      <c r="O58" s="50"/>
      <c r="P58" s="50"/>
      <c r="Q58" s="50"/>
      <c r="R58" s="50"/>
      <c r="S58" s="50"/>
      <c r="T58" s="51"/>
      <c r="U58" s="51"/>
      <c r="V58" s="51"/>
      <c r="W58" s="51"/>
      <c r="X58" s="51"/>
      <c r="Y58" s="51"/>
      <c r="Z58" s="51"/>
      <c r="AA58" s="51" t="s">
        <v>226</v>
      </c>
      <c r="AB58" s="51" t="s">
        <v>227</v>
      </c>
      <c r="AC58" s="51">
        <v>352</v>
      </c>
      <c r="AD58" s="51">
        <v>296</v>
      </c>
      <c r="AE58" s="51"/>
      <c r="AF58" s="51" t="s">
        <v>228</v>
      </c>
      <c r="AG58" s="51" t="s">
        <v>229</v>
      </c>
      <c r="AH58" s="51"/>
      <c r="AI58" s="51">
        <f>510+0</f>
        <v>510</v>
      </c>
    </row>
    <row r="59" spans="1:35" ht="63.75" x14ac:dyDescent="0.2">
      <c r="A59" s="54">
        <v>33</v>
      </c>
      <c r="B59" s="55" t="s">
        <v>230</v>
      </c>
      <c r="C59" s="56" t="str">
        <f t="shared" ca="1" si="1"/>
        <v xml:space="preserve">Люки противопожарные: ЛПМ 01/60, 800х800 мм 7790,05/5,58=1396,07
шт.
</v>
      </c>
      <c r="D59" s="54">
        <v>2</v>
      </c>
      <c r="E59" s="57">
        <v>1396.07</v>
      </c>
      <c r="F59" s="57"/>
      <c r="G59" s="57">
        <v>1396.07</v>
      </c>
      <c r="H59" s="58" t="s">
        <v>162</v>
      </c>
      <c r="I59" s="59">
        <v>15579</v>
      </c>
      <c r="J59" s="57"/>
      <c r="K59" s="57"/>
      <c r="L59" s="57" t="str">
        <f>IF(2*1396.07=0," ",TEXT(,ROUND((2*1396.07*5.58),2)))</f>
        <v>15580.14</v>
      </c>
      <c r="M59" s="57"/>
      <c r="N59" s="57"/>
      <c r="O59" s="50"/>
      <c r="P59" s="50"/>
      <c r="Q59" s="50"/>
      <c r="R59" s="50"/>
      <c r="S59" s="50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 t="s">
        <v>231</v>
      </c>
      <c r="AG59" s="51" t="s">
        <v>232</v>
      </c>
      <c r="AH59" s="51"/>
      <c r="AI59" s="51">
        <f>0+0</f>
        <v>0</v>
      </c>
    </row>
    <row r="60" spans="1:35" ht="25.5" x14ac:dyDescent="0.2">
      <c r="A60" s="92" t="s">
        <v>133</v>
      </c>
      <c r="B60" s="93"/>
      <c r="C60" s="93"/>
      <c r="D60" s="93"/>
      <c r="E60" s="93"/>
      <c r="F60" s="93"/>
      <c r="G60" s="93"/>
      <c r="H60" s="93"/>
      <c r="I60" s="49">
        <v>192433</v>
      </c>
      <c r="J60" s="47">
        <v>16425</v>
      </c>
      <c r="K60" s="47" t="s">
        <v>233</v>
      </c>
      <c r="L60" s="47">
        <v>172279</v>
      </c>
      <c r="M60" s="47"/>
      <c r="N60" s="47" t="s">
        <v>234</v>
      </c>
      <c r="O60" s="18"/>
      <c r="P60" s="19"/>
      <c r="Q60" s="18"/>
      <c r="R60" s="18"/>
      <c r="S60" s="18"/>
    </row>
    <row r="61" spans="1:35" ht="25.5" x14ac:dyDescent="0.2">
      <c r="A61" s="92" t="s">
        <v>235</v>
      </c>
      <c r="B61" s="93"/>
      <c r="C61" s="93"/>
      <c r="D61" s="93"/>
      <c r="E61" s="93"/>
      <c r="F61" s="93"/>
      <c r="G61" s="93"/>
      <c r="H61" s="93"/>
      <c r="I61" s="49">
        <v>195712</v>
      </c>
      <c r="J61" s="47">
        <v>18795</v>
      </c>
      <c r="K61" s="47" t="s">
        <v>236</v>
      </c>
      <c r="L61" s="47">
        <v>172279</v>
      </c>
      <c r="M61" s="47"/>
      <c r="N61" s="47" t="s">
        <v>237</v>
      </c>
      <c r="O61" s="18"/>
      <c r="P61" s="19"/>
      <c r="Q61" s="18"/>
      <c r="R61" s="18"/>
      <c r="S61" s="18"/>
    </row>
    <row r="62" spans="1:35" x14ac:dyDescent="0.2">
      <c r="A62" s="92" t="s">
        <v>238</v>
      </c>
      <c r="B62" s="93"/>
      <c r="C62" s="93"/>
      <c r="D62" s="93"/>
      <c r="E62" s="93"/>
      <c r="F62" s="93"/>
      <c r="G62" s="93"/>
      <c r="H62" s="93"/>
      <c r="I62" s="49"/>
      <c r="J62" s="47"/>
      <c r="K62" s="47"/>
      <c r="L62" s="47"/>
      <c r="M62" s="47"/>
      <c r="N62" s="47"/>
      <c r="O62" s="18"/>
      <c r="P62" s="19"/>
      <c r="Q62" s="18"/>
      <c r="R62" s="18"/>
      <c r="S62" s="18"/>
    </row>
    <row r="63" spans="1:35" ht="27.95" customHeight="1" x14ac:dyDescent="0.2">
      <c r="A63" s="92" t="s">
        <v>239</v>
      </c>
      <c r="B63" s="93"/>
      <c r="C63" s="93"/>
      <c r="D63" s="93"/>
      <c r="E63" s="93"/>
      <c r="F63" s="93"/>
      <c r="G63" s="93"/>
      <c r="H63" s="93"/>
      <c r="I63" s="49">
        <v>3279</v>
      </c>
      <c r="J63" s="47">
        <v>2369</v>
      </c>
      <c r="K63" s="47" t="s">
        <v>240</v>
      </c>
      <c r="L63" s="47"/>
      <c r="M63" s="47"/>
      <c r="N63" s="47" t="s">
        <v>241</v>
      </c>
      <c r="O63" s="18"/>
      <c r="P63" s="19"/>
      <c r="Q63" s="18"/>
      <c r="R63" s="18"/>
      <c r="S63" s="18"/>
    </row>
    <row r="64" spans="1:35" ht="25.5" x14ac:dyDescent="0.2">
      <c r="A64" s="92" t="s">
        <v>136</v>
      </c>
      <c r="B64" s="93"/>
      <c r="C64" s="93"/>
      <c r="D64" s="93"/>
      <c r="E64" s="93"/>
      <c r="F64" s="93"/>
      <c r="G64" s="93"/>
      <c r="H64" s="93"/>
      <c r="I64" s="49">
        <v>1307946</v>
      </c>
      <c r="J64" s="47">
        <v>309178</v>
      </c>
      <c r="K64" s="47" t="s">
        <v>242</v>
      </c>
      <c r="L64" s="47">
        <v>945932</v>
      </c>
      <c r="M64" s="47"/>
      <c r="N64" s="47" t="s">
        <v>237</v>
      </c>
      <c r="O64" s="18"/>
      <c r="P64" s="19"/>
      <c r="Q64" s="18"/>
      <c r="R64" s="18"/>
      <c r="S64" s="18"/>
    </row>
    <row r="65" spans="1:35" x14ac:dyDescent="0.2">
      <c r="A65" s="92" t="s">
        <v>138</v>
      </c>
      <c r="B65" s="93"/>
      <c r="C65" s="93"/>
      <c r="D65" s="93"/>
      <c r="E65" s="93"/>
      <c r="F65" s="93"/>
      <c r="G65" s="93"/>
      <c r="H65" s="93"/>
      <c r="I65" s="49">
        <v>289231</v>
      </c>
      <c r="J65" s="47"/>
      <c r="K65" s="47"/>
      <c r="L65" s="47"/>
      <c r="M65" s="47"/>
      <c r="N65" s="47"/>
      <c r="O65" s="18"/>
      <c r="P65" s="19"/>
      <c r="Q65" s="18"/>
      <c r="R65" s="18"/>
      <c r="S65" s="18"/>
    </row>
    <row r="66" spans="1:35" x14ac:dyDescent="0.2">
      <c r="A66" s="92" t="s">
        <v>139</v>
      </c>
      <c r="B66" s="93"/>
      <c r="C66" s="93"/>
      <c r="D66" s="93"/>
      <c r="E66" s="93"/>
      <c r="F66" s="93"/>
      <c r="G66" s="93"/>
      <c r="H66" s="93"/>
      <c r="I66" s="49">
        <v>141597</v>
      </c>
      <c r="J66" s="47"/>
      <c r="K66" s="47"/>
      <c r="L66" s="47"/>
      <c r="M66" s="47"/>
      <c r="N66" s="47"/>
      <c r="O66" s="18"/>
      <c r="P66" s="19"/>
      <c r="Q66" s="18"/>
      <c r="R66" s="18"/>
      <c r="S66" s="18"/>
    </row>
    <row r="67" spans="1:35" ht="25.5" x14ac:dyDescent="0.2">
      <c r="A67" s="73" t="s">
        <v>243</v>
      </c>
      <c r="B67" s="74"/>
      <c r="C67" s="74"/>
      <c r="D67" s="74"/>
      <c r="E67" s="74"/>
      <c r="F67" s="74"/>
      <c r="G67" s="74"/>
      <c r="H67" s="74"/>
      <c r="I67" s="59">
        <v>1738774</v>
      </c>
      <c r="J67" s="57"/>
      <c r="K67" s="57"/>
      <c r="L67" s="57"/>
      <c r="M67" s="57"/>
      <c r="N67" s="57" t="s">
        <v>237</v>
      </c>
      <c r="O67" s="18"/>
      <c r="P67" s="19"/>
      <c r="Q67" s="18"/>
      <c r="R67" s="18"/>
      <c r="S67" s="18"/>
    </row>
    <row r="68" spans="1:35" ht="21" customHeight="1" x14ac:dyDescent="0.2">
      <c r="A68" s="90" t="s">
        <v>244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</row>
    <row r="69" spans="1:35" ht="102" x14ac:dyDescent="0.2">
      <c r="A69" s="44">
        <v>34</v>
      </c>
      <c r="B69" s="45" t="s">
        <v>245</v>
      </c>
      <c r="C69" s="46" t="str">
        <f t="shared" ref="C69:C114" ca="1" si="2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Установка стропил
1 м3 древесины в конструкции
138442 руб. НР 90%=118%*(0,85*0,9) от ФОТ (153824 руб.)
66144 руб.СП 43%=63%*(0,8*0,85) от ФОТ (153824 руб.)
</v>
      </c>
      <c r="D69" s="44">
        <v>40.171999999999997</v>
      </c>
      <c r="E69" s="47" t="s">
        <v>246</v>
      </c>
      <c r="F69" s="47" t="s">
        <v>247</v>
      </c>
      <c r="G69" s="47">
        <v>2062.2600000000002</v>
      </c>
      <c r="H69" s="48" t="s">
        <v>248</v>
      </c>
      <c r="I69" s="49">
        <v>480192</v>
      </c>
      <c r="J69" s="47">
        <v>152130</v>
      </c>
      <c r="K69" s="47" t="s">
        <v>249</v>
      </c>
      <c r="L69" s="47" t="str">
        <f>IF(40.172*2062.26=0," ",TEXT(,ROUND((40.172*2062.26*3.71),2)))</f>
        <v>307355.35</v>
      </c>
      <c r="M69" s="47" t="s">
        <v>250</v>
      </c>
      <c r="N69" s="47" t="s">
        <v>251</v>
      </c>
      <c r="O69" s="50"/>
      <c r="P69" s="50"/>
      <c r="Q69" s="50"/>
      <c r="R69" s="50"/>
      <c r="S69" s="50"/>
      <c r="T69" s="51"/>
      <c r="U69" s="51"/>
      <c r="V69" s="51"/>
      <c r="W69" s="51"/>
      <c r="X69" s="51"/>
      <c r="Y69" s="51"/>
      <c r="Z69" s="51"/>
      <c r="AA69" s="51" t="s">
        <v>208</v>
      </c>
      <c r="AB69" s="51" t="s">
        <v>209</v>
      </c>
      <c r="AC69" s="51">
        <v>138442</v>
      </c>
      <c r="AD69" s="51">
        <v>66144</v>
      </c>
      <c r="AE69" s="51"/>
      <c r="AF69" s="51" t="s">
        <v>252</v>
      </c>
      <c r="AG69" s="51" t="s">
        <v>222</v>
      </c>
      <c r="AH69" s="51"/>
      <c r="AI69" s="51">
        <f>152130+1694</f>
        <v>153824</v>
      </c>
    </row>
    <row r="70" spans="1:35" ht="76.5" x14ac:dyDescent="0.2">
      <c r="A70" s="44">
        <v>35</v>
      </c>
      <c r="B70" s="45" t="s">
        <v>253</v>
      </c>
      <c r="C70" s="46" t="str">
        <f t="shared" ca="1" si="2"/>
        <v xml:space="preserve">Устройство обрешетки сплошной из досок
100 м2
10313 руб. НР 71%=83%*0,85 от ФОТ (14525 руб.)
7553 руб.СП 52%=65%*0,8 от ФОТ (14525 руб.)
</v>
      </c>
      <c r="D70" s="44" t="s">
        <v>254</v>
      </c>
      <c r="E70" s="47" t="s">
        <v>255</v>
      </c>
      <c r="F70" s="47" t="s">
        <v>256</v>
      </c>
      <c r="G70" s="47">
        <v>2198.6799999999998</v>
      </c>
      <c r="H70" s="48" t="s">
        <v>257</v>
      </c>
      <c r="I70" s="49">
        <v>56973</v>
      </c>
      <c r="J70" s="47">
        <v>14196</v>
      </c>
      <c r="K70" s="47" t="s">
        <v>258</v>
      </c>
      <c r="L70" s="47" t="str">
        <f>IF(3.4161*2198.68=0," ",TEXT(,ROUND((3.4161*2198.68*5.51),2)))</f>
        <v>41385.12</v>
      </c>
      <c r="M70" s="47" t="s">
        <v>259</v>
      </c>
      <c r="N70" s="47" t="s">
        <v>260</v>
      </c>
      <c r="O70" s="50"/>
      <c r="P70" s="50"/>
      <c r="Q70" s="50"/>
      <c r="R70" s="50"/>
      <c r="S70" s="50"/>
      <c r="T70" s="51"/>
      <c r="U70" s="51"/>
      <c r="V70" s="51"/>
      <c r="W70" s="51"/>
      <c r="X70" s="51"/>
      <c r="Y70" s="51"/>
      <c r="Z70" s="51"/>
      <c r="AA70" s="51" t="s">
        <v>41</v>
      </c>
      <c r="AB70" s="51" t="s">
        <v>42</v>
      </c>
      <c r="AC70" s="51">
        <v>10313</v>
      </c>
      <c r="AD70" s="51">
        <v>7553</v>
      </c>
      <c r="AE70" s="51"/>
      <c r="AF70" s="51" t="s">
        <v>261</v>
      </c>
      <c r="AG70" s="51" t="s">
        <v>262</v>
      </c>
      <c r="AH70" s="51"/>
      <c r="AI70" s="51">
        <f>14196+329</f>
        <v>14525</v>
      </c>
    </row>
    <row r="71" spans="1:35" ht="63.75" x14ac:dyDescent="0.2">
      <c r="A71" s="44">
        <v>36</v>
      </c>
      <c r="B71" s="45" t="s">
        <v>263</v>
      </c>
      <c r="C71" s="46" t="str">
        <f t="shared" ca="1" si="2"/>
        <v xml:space="preserve">Доски необрезные хвойных пород длиной: 4-6,5 м, все ширины, толщиной 25 мм, III сорта
м3
</v>
      </c>
      <c r="D71" s="44">
        <v>-9.0190000000000001</v>
      </c>
      <c r="E71" s="47">
        <v>792</v>
      </c>
      <c r="F71" s="47"/>
      <c r="G71" s="47">
        <v>792</v>
      </c>
      <c r="H71" s="48" t="s">
        <v>264</v>
      </c>
      <c r="I71" s="49">
        <v>-40251</v>
      </c>
      <c r="J71" s="47"/>
      <c r="K71" s="47"/>
      <c r="L71" s="47" t="str">
        <f>IF(-9.019*792=0," ",TEXT(,ROUND((-9.019*792*5.635),2)))</f>
        <v>-40251.08</v>
      </c>
      <c r="M71" s="47"/>
      <c r="N71" s="47"/>
      <c r="O71" s="50"/>
      <c r="P71" s="50"/>
      <c r="Q71" s="50"/>
      <c r="R71" s="50"/>
      <c r="S71" s="50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 t="s">
        <v>265</v>
      </c>
      <c r="AG71" s="51" t="s">
        <v>198</v>
      </c>
      <c r="AH71" s="51"/>
      <c r="AI71" s="51">
        <f>0+0</f>
        <v>0</v>
      </c>
    </row>
    <row r="72" spans="1:35" ht="76.5" x14ac:dyDescent="0.2">
      <c r="A72" s="44">
        <v>37</v>
      </c>
      <c r="B72" s="45" t="s">
        <v>215</v>
      </c>
      <c r="C72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72" s="44">
        <v>18.18</v>
      </c>
      <c r="E72" s="47">
        <v>1320</v>
      </c>
      <c r="F72" s="47"/>
      <c r="G72" s="47">
        <v>1320</v>
      </c>
      <c r="H72" s="48" t="s">
        <v>216</v>
      </c>
      <c r="I72" s="49">
        <v>99736</v>
      </c>
      <c r="J72" s="47"/>
      <c r="K72" s="47"/>
      <c r="L72" s="47" t="str">
        <f>IF(18.18*1320=0," ",TEXT(,ROUND((18.18*1320*4.156),2)))</f>
        <v>99734.03</v>
      </c>
      <c r="M72" s="47"/>
      <c r="N72" s="47"/>
      <c r="O72" s="50"/>
      <c r="P72" s="50"/>
      <c r="Q72" s="50"/>
      <c r="R72" s="50"/>
      <c r="S72" s="50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 t="s">
        <v>217</v>
      </c>
      <c r="AG72" s="51" t="s">
        <v>198</v>
      </c>
      <c r="AH72" s="51"/>
      <c r="AI72" s="51">
        <f>0+0</f>
        <v>0</v>
      </c>
    </row>
    <row r="73" spans="1:35" ht="89.25" x14ac:dyDescent="0.2">
      <c r="A73" s="44">
        <v>38</v>
      </c>
      <c r="B73" s="45" t="s">
        <v>266</v>
      </c>
      <c r="C73" s="46" t="str">
        <f t="shared" ca="1" si="2"/>
        <v xml:space="preserve">Устройство обрешетки с прозорами из досок и брусков под кровлю: из листовой стали
100 м2
12602 руб. НР 71%=83%*0,85 от ФОТ (17749 руб.)
9229 руб.СП 52%=65%*0,8 от ФОТ (17749 руб.)
</v>
      </c>
      <c r="D73" s="44">
        <v>6.2069000000000001</v>
      </c>
      <c r="E73" s="47" t="s">
        <v>267</v>
      </c>
      <c r="F73" s="47" t="s">
        <v>268</v>
      </c>
      <c r="G73" s="47">
        <v>1570.73</v>
      </c>
      <c r="H73" s="48" t="s">
        <v>269</v>
      </c>
      <c r="I73" s="49">
        <v>70109</v>
      </c>
      <c r="J73" s="47">
        <v>17305</v>
      </c>
      <c r="K73" s="47" t="s">
        <v>270</v>
      </c>
      <c r="L73" s="47" t="str">
        <f>IF(6.2069*1570.73=0," ",TEXT(,ROUND((6.2069*1570.73*5.25),2)))</f>
        <v>51184.16</v>
      </c>
      <c r="M73" s="47" t="s">
        <v>271</v>
      </c>
      <c r="N73" s="47" t="s">
        <v>272</v>
      </c>
      <c r="O73" s="50"/>
      <c r="P73" s="50"/>
      <c r="Q73" s="50"/>
      <c r="R73" s="50"/>
      <c r="S73" s="50"/>
      <c r="T73" s="51"/>
      <c r="U73" s="51"/>
      <c r="V73" s="51"/>
      <c r="W73" s="51"/>
      <c r="X73" s="51"/>
      <c r="Y73" s="51"/>
      <c r="Z73" s="51"/>
      <c r="AA73" s="51" t="s">
        <v>41</v>
      </c>
      <c r="AB73" s="51" t="s">
        <v>42</v>
      </c>
      <c r="AC73" s="51">
        <v>12602</v>
      </c>
      <c r="AD73" s="51">
        <v>9229</v>
      </c>
      <c r="AE73" s="51"/>
      <c r="AF73" s="51" t="s">
        <v>273</v>
      </c>
      <c r="AG73" s="51" t="s">
        <v>262</v>
      </c>
      <c r="AH73" s="51"/>
      <c r="AI73" s="51">
        <f>17305+444</f>
        <v>17749</v>
      </c>
    </row>
    <row r="74" spans="1:35" ht="63.75" x14ac:dyDescent="0.2">
      <c r="A74" s="44">
        <v>39</v>
      </c>
      <c r="B74" s="45" t="s">
        <v>212</v>
      </c>
      <c r="C74" s="46" t="str">
        <f t="shared" ca="1" si="2"/>
        <v xml:space="preserve">Доски необрезные хвойных пород длиной: 4-6,5 м, все ширины, толщиной 32-40 мм, III сорта
м3
</v>
      </c>
      <c r="D74" s="44">
        <v>-11.17</v>
      </c>
      <c r="E74" s="47">
        <v>832.7</v>
      </c>
      <c r="F74" s="47"/>
      <c r="G74" s="47">
        <v>832.7</v>
      </c>
      <c r="H74" s="48" t="s">
        <v>213</v>
      </c>
      <c r="I74" s="49">
        <v>-49844</v>
      </c>
      <c r="J74" s="47"/>
      <c r="K74" s="47"/>
      <c r="L74" s="47" t="str">
        <f>IF(-11.17*832.7=0," ",TEXT(,ROUND((-11.17*832.7*5.359),2)))</f>
        <v>-49845.45</v>
      </c>
      <c r="M74" s="47"/>
      <c r="N74" s="47"/>
      <c r="O74" s="50"/>
      <c r="P74" s="50"/>
      <c r="Q74" s="50"/>
      <c r="R74" s="50"/>
      <c r="S74" s="50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 t="s">
        <v>214</v>
      </c>
      <c r="AG74" s="51" t="s">
        <v>198</v>
      </c>
      <c r="AH74" s="51"/>
      <c r="AI74" s="51">
        <f>0+0</f>
        <v>0</v>
      </c>
    </row>
    <row r="75" spans="1:35" ht="76.5" x14ac:dyDescent="0.2">
      <c r="A75" s="44">
        <v>40</v>
      </c>
      <c r="B75" s="45" t="s">
        <v>215</v>
      </c>
      <c r="C75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75" s="44">
        <v>13.96</v>
      </c>
      <c r="E75" s="47">
        <v>1320</v>
      </c>
      <c r="F75" s="47"/>
      <c r="G75" s="47">
        <v>1320</v>
      </c>
      <c r="H75" s="48" t="s">
        <v>216</v>
      </c>
      <c r="I75" s="49">
        <v>76583</v>
      </c>
      <c r="J75" s="47"/>
      <c r="K75" s="47"/>
      <c r="L75" s="47" t="str">
        <f>IF(13.96*1320=0," ",TEXT(,ROUND((13.96*1320*4.156),2)))</f>
        <v>76583.44</v>
      </c>
      <c r="M75" s="47"/>
      <c r="N75" s="47"/>
      <c r="O75" s="50"/>
      <c r="P75" s="50"/>
      <c r="Q75" s="50"/>
      <c r="R75" s="50"/>
      <c r="S75" s="50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 t="s">
        <v>217</v>
      </c>
      <c r="AG75" s="51" t="s">
        <v>198</v>
      </c>
      <c r="AH75" s="51"/>
      <c r="AI75" s="51">
        <f>0+0</f>
        <v>0</v>
      </c>
    </row>
    <row r="76" spans="1:35" ht="89.25" x14ac:dyDescent="0.2">
      <c r="A76" s="44">
        <v>41</v>
      </c>
      <c r="B76" s="45" t="s">
        <v>153</v>
      </c>
      <c r="C76" s="46" t="str">
        <f t="shared" ca="1" si="2"/>
        <v xml:space="preserve">Устройство покрытия из рулонных материалов: насухо без промазки кромок
100 м2 кровли
4952 руб. НР 71%=83%*0,85 от ФОТ (6975 руб.)
3627 руб.СП 52%=65%*0,8 от ФОТ (6975 руб.)
</v>
      </c>
      <c r="D76" s="44">
        <v>11.693</v>
      </c>
      <c r="E76" s="47" t="s">
        <v>154</v>
      </c>
      <c r="F76" s="47">
        <v>5.23</v>
      </c>
      <c r="G76" s="47">
        <v>883.33</v>
      </c>
      <c r="H76" s="48" t="s">
        <v>155</v>
      </c>
      <c r="I76" s="49">
        <v>59317</v>
      </c>
      <c r="J76" s="47">
        <v>6975</v>
      </c>
      <c r="K76" s="47">
        <v>697</v>
      </c>
      <c r="L76" s="47" t="str">
        <f>IF(11.693*883.33=0," ",TEXT(,ROUND((11.693*883.33*5),2)))</f>
        <v>51643.89</v>
      </c>
      <c r="M76" s="47">
        <v>4.5199999999999996</v>
      </c>
      <c r="N76" s="47">
        <v>52.85</v>
      </c>
      <c r="O76" s="50"/>
      <c r="P76" s="50"/>
      <c r="Q76" s="50"/>
      <c r="R76" s="50"/>
      <c r="S76" s="50"/>
      <c r="T76" s="51"/>
      <c r="U76" s="51"/>
      <c r="V76" s="51"/>
      <c r="W76" s="51"/>
      <c r="X76" s="51"/>
      <c r="Y76" s="51"/>
      <c r="Z76" s="51"/>
      <c r="AA76" s="51" t="s">
        <v>41</v>
      </c>
      <c r="AB76" s="51" t="s">
        <v>42</v>
      </c>
      <c r="AC76" s="51">
        <v>4952</v>
      </c>
      <c r="AD76" s="51">
        <v>3627</v>
      </c>
      <c r="AE76" s="51"/>
      <c r="AF76" s="51" t="s">
        <v>156</v>
      </c>
      <c r="AG76" s="51" t="s">
        <v>58</v>
      </c>
      <c r="AH76" s="51"/>
      <c r="AI76" s="51">
        <f>6975+0</f>
        <v>6975</v>
      </c>
    </row>
    <row r="77" spans="1:35" ht="63.75" x14ac:dyDescent="0.2">
      <c r="A77" s="44">
        <v>42</v>
      </c>
      <c r="B77" s="45" t="s">
        <v>157</v>
      </c>
      <c r="C77" s="46" t="str">
        <f t="shared" ca="1" si="2"/>
        <v xml:space="preserve">Рубероид кровельный с крупнозернистой посыпкой марки: РКК-350б
м2
</v>
      </c>
      <c r="D77" s="44">
        <v>-1345</v>
      </c>
      <c r="E77" s="47">
        <v>7.46</v>
      </c>
      <c r="F77" s="47"/>
      <c r="G77" s="47">
        <v>7.46</v>
      </c>
      <c r="H77" s="48" t="s">
        <v>158</v>
      </c>
      <c r="I77" s="49">
        <v>-50160</v>
      </c>
      <c r="J77" s="47"/>
      <c r="K77" s="47"/>
      <c r="L77" s="47" t="str">
        <f>IF(-1345*7.46=0," ",TEXT(,ROUND((-1345*7.46*4.999),2)))</f>
        <v>-50158.47</v>
      </c>
      <c r="M77" s="47"/>
      <c r="N77" s="47"/>
      <c r="O77" s="50"/>
      <c r="P77" s="50"/>
      <c r="Q77" s="50"/>
      <c r="R77" s="50"/>
      <c r="S77" s="50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 t="s">
        <v>159</v>
      </c>
      <c r="AG77" s="51" t="s">
        <v>160</v>
      </c>
      <c r="AH77" s="51"/>
      <c r="AI77" s="51">
        <f>0+0</f>
        <v>0</v>
      </c>
    </row>
    <row r="78" spans="1:35" ht="63.75" x14ac:dyDescent="0.2">
      <c r="A78" s="44">
        <v>43</v>
      </c>
      <c r="B78" s="45" t="s">
        <v>274</v>
      </c>
      <c r="C78" s="46" t="str">
        <f t="shared" ca="1" si="2"/>
        <v xml:space="preserve">Изоспан: Защитный материал марки D  18,31/5,58=3,28
м2
</v>
      </c>
      <c r="D78" s="44">
        <v>1345</v>
      </c>
      <c r="E78" s="47">
        <v>3.28</v>
      </c>
      <c r="F78" s="47"/>
      <c r="G78" s="47">
        <v>3.28</v>
      </c>
      <c r="H78" s="48" t="s">
        <v>162</v>
      </c>
      <c r="I78" s="49">
        <v>24619</v>
      </c>
      <c r="J78" s="47"/>
      <c r="K78" s="47"/>
      <c r="L78" s="47" t="str">
        <f>IF(1345*3.28=0," ",TEXT(,ROUND((1345*3.28*5.58),2)))</f>
        <v>24616.73</v>
      </c>
      <c r="M78" s="47"/>
      <c r="N78" s="47"/>
      <c r="O78" s="50"/>
      <c r="P78" s="50"/>
      <c r="Q78" s="50"/>
      <c r="R78" s="50"/>
      <c r="S78" s="50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 t="s">
        <v>275</v>
      </c>
      <c r="AG78" s="51" t="s">
        <v>160</v>
      </c>
      <c r="AH78" s="51"/>
      <c r="AI78" s="51">
        <f>0+0</f>
        <v>0</v>
      </c>
    </row>
    <row r="79" spans="1:35" ht="102" x14ac:dyDescent="0.2">
      <c r="A79" s="44">
        <v>44</v>
      </c>
      <c r="B79" s="45" t="s">
        <v>276</v>
      </c>
      <c r="C79" s="46" t="str">
        <f t="shared" ca="1" si="2"/>
        <v xml:space="preserve">Устройство слуховых окон
1 слуховое окно
3968 руб. НР 90%=118%*(0,85*0,9) от ФОТ (4409 руб.)
1896 руб.СП 43%=63%*(0,8*0,85) от ФОТ (4409 руб.)
</v>
      </c>
      <c r="D79" s="44">
        <v>4</v>
      </c>
      <c r="E79" s="47" t="s">
        <v>277</v>
      </c>
      <c r="F79" s="47" t="s">
        <v>278</v>
      </c>
      <c r="G79" s="47">
        <v>300.2</v>
      </c>
      <c r="H79" s="48" t="s">
        <v>279</v>
      </c>
      <c r="I79" s="49">
        <v>11850</v>
      </c>
      <c r="J79" s="47">
        <v>4277</v>
      </c>
      <c r="K79" s="47" t="s">
        <v>280</v>
      </c>
      <c r="L79" s="47" t="str">
        <f>IF(4*300.2=0," ",TEXT(,ROUND((4*300.2*5.3),2)))</f>
        <v>6364.24</v>
      </c>
      <c r="M79" s="47" t="s">
        <v>281</v>
      </c>
      <c r="N79" s="47" t="s">
        <v>282</v>
      </c>
      <c r="O79" s="50"/>
      <c r="P79" s="50"/>
      <c r="Q79" s="50"/>
      <c r="R79" s="50"/>
      <c r="S79" s="50"/>
      <c r="T79" s="51"/>
      <c r="U79" s="51"/>
      <c r="V79" s="51"/>
      <c r="W79" s="51"/>
      <c r="X79" s="51"/>
      <c r="Y79" s="51"/>
      <c r="Z79" s="51"/>
      <c r="AA79" s="51" t="s">
        <v>208</v>
      </c>
      <c r="AB79" s="51" t="s">
        <v>209</v>
      </c>
      <c r="AC79" s="51">
        <v>3968</v>
      </c>
      <c r="AD79" s="51">
        <v>1896</v>
      </c>
      <c r="AE79" s="51"/>
      <c r="AF79" s="51" t="s">
        <v>283</v>
      </c>
      <c r="AG79" s="51" t="s">
        <v>284</v>
      </c>
      <c r="AH79" s="51"/>
      <c r="AI79" s="51">
        <f>4277+132</f>
        <v>4409</v>
      </c>
    </row>
    <row r="80" spans="1:35" ht="51" x14ac:dyDescent="0.2">
      <c r="A80" s="44">
        <v>45</v>
      </c>
      <c r="B80" s="45" t="s">
        <v>285</v>
      </c>
      <c r="C80" s="46" t="str">
        <f t="shared" ca="1" si="2"/>
        <v xml:space="preserve">Петли форточные накладные размером 70х55 мм
компл.
</v>
      </c>
      <c r="D80" s="44">
        <v>4</v>
      </c>
      <c r="E80" s="47">
        <v>3.74</v>
      </c>
      <c r="F80" s="47"/>
      <c r="G80" s="47">
        <v>3.74</v>
      </c>
      <c r="H80" s="48" t="s">
        <v>286</v>
      </c>
      <c r="I80" s="49">
        <v>35</v>
      </c>
      <c r="J80" s="47"/>
      <c r="K80" s="47"/>
      <c r="L80" s="47" t="str">
        <f>IF(4*3.74=0," ",TEXT(,ROUND((4*3.74*2.337),2)))</f>
        <v>34.96</v>
      </c>
      <c r="M80" s="47"/>
      <c r="N80" s="47"/>
      <c r="O80" s="50"/>
      <c r="P80" s="50"/>
      <c r="Q80" s="50"/>
      <c r="R80" s="50"/>
      <c r="S80" s="50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 t="s">
        <v>287</v>
      </c>
      <c r="AG80" s="51" t="s">
        <v>288</v>
      </c>
      <c r="AH80" s="51"/>
      <c r="AI80" s="51">
        <f>0+0</f>
        <v>0</v>
      </c>
    </row>
    <row r="81" spans="1:35" ht="63.75" x14ac:dyDescent="0.2">
      <c r="A81" s="44">
        <v>46</v>
      </c>
      <c r="B81" s="45" t="s">
        <v>289</v>
      </c>
      <c r="C81" s="46" t="str">
        <f t="shared" ca="1" si="2"/>
        <v xml:space="preserve">Шпингалеты дверные размером 230х26 мм, оцинкованные или окрашенные
компл.
</v>
      </c>
      <c r="D81" s="44">
        <v>4</v>
      </c>
      <c r="E81" s="47">
        <v>13.42</v>
      </c>
      <c r="F81" s="47"/>
      <c r="G81" s="47">
        <v>13.42</v>
      </c>
      <c r="H81" s="48" t="s">
        <v>290</v>
      </c>
      <c r="I81" s="49">
        <v>105</v>
      </c>
      <c r="J81" s="47"/>
      <c r="K81" s="47"/>
      <c r="L81" s="47" t="str">
        <f>IF(4*13.42=0," ",TEXT(,ROUND((4*13.42*1.941),2)))</f>
        <v>104.19</v>
      </c>
      <c r="M81" s="47"/>
      <c r="N81" s="47"/>
      <c r="O81" s="50"/>
      <c r="P81" s="50"/>
      <c r="Q81" s="50"/>
      <c r="R81" s="50"/>
      <c r="S81" s="50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 t="s">
        <v>291</v>
      </c>
      <c r="AG81" s="51" t="s">
        <v>288</v>
      </c>
      <c r="AH81" s="51"/>
      <c r="AI81" s="51">
        <f>0+0</f>
        <v>0</v>
      </c>
    </row>
    <row r="82" spans="1:35" ht="127.5" x14ac:dyDescent="0.2">
      <c r="A82" s="44">
        <v>47</v>
      </c>
      <c r="B82" s="45" t="s">
        <v>292</v>
      </c>
      <c r="C82" s="46" t="str">
        <f t="shared" ca="1" si="2"/>
        <v xml:space="preserve">Антисептическая обработка деревянных конструкций составом "Пирилакс" при помощи аппарата аэрозольно-капельного распыления
100 м2 обрабатываемой поверхности
39500 руб. НР 90%=118%*(0,85*0,9) от ФОТ (43889 руб.)
18872 руб.СП 43%=63%*(0,8*0,85) от ФОТ (43889 руб.)
</v>
      </c>
      <c r="D82" s="44">
        <v>47.89</v>
      </c>
      <c r="E82" s="47" t="s">
        <v>293</v>
      </c>
      <c r="F82" s="47" t="s">
        <v>294</v>
      </c>
      <c r="G82" s="47">
        <v>176.17</v>
      </c>
      <c r="H82" s="48" t="s">
        <v>295</v>
      </c>
      <c r="I82" s="49">
        <v>160951</v>
      </c>
      <c r="J82" s="47">
        <v>43428</v>
      </c>
      <c r="K82" s="47" t="s">
        <v>296</v>
      </c>
      <c r="L82" s="47" t="str">
        <f>IF(47.89*176.17=0," ",TEXT(,ROUND((47.89*176.17*10.78),2)))</f>
        <v>90948.5</v>
      </c>
      <c r="M82" s="47" t="s">
        <v>297</v>
      </c>
      <c r="N82" s="47" t="s">
        <v>298</v>
      </c>
      <c r="O82" s="50"/>
      <c r="P82" s="50"/>
      <c r="Q82" s="50"/>
      <c r="R82" s="50"/>
      <c r="S82" s="50"/>
      <c r="T82" s="51"/>
      <c r="U82" s="51"/>
      <c r="V82" s="51"/>
      <c r="W82" s="51"/>
      <c r="X82" s="51"/>
      <c r="Y82" s="51"/>
      <c r="Z82" s="51"/>
      <c r="AA82" s="51" t="s">
        <v>208</v>
      </c>
      <c r="AB82" s="51" t="s">
        <v>209</v>
      </c>
      <c r="AC82" s="51">
        <v>39500</v>
      </c>
      <c r="AD82" s="51">
        <v>18872</v>
      </c>
      <c r="AE82" s="51"/>
      <c r="AF82" s="51" t="s">
        <v>299</v>
      </c>
      <c r="AG82" s="51" t="s">
        <v>300</v>
      </c>
      <c r="AH82" s="51"/>
      <c r="AI82" s="51">
        <f>43428+461</f>
        <v>43889</v>
      </c>
    </row>
    <row r="83" spans="1:35" ht="114.75" x14ac:dyDescent="0.2">
      <c r="A83" s="44">
        <v>48</v>
      </c>
      <c r="B83" s="45" t="s">
        <v>301</v>
      </c>
      <c r="C83" s="46" t="str">
        <f t="shared" ca="1" si="2"/>
        <v xml:space="preserve">Устройство кровли из металлочерепицы по готовым прогонам: средней сложности
100 м2 кровли
92272 руб. НР 92%=120%*(0,85*0,9) от ФОТ (100296 руб.)
44130 руб.СП 44%=65%*(0,8*0,85) от ФОТ (100296 руб.)
</v>
      </c>
      <c r="D83" s="44" t="s">
        <v>302</v>
      </c>
      <c r="E83" s="47" t="s">
        <v>303</v>
      </c>
      <c r="F83" s="47" t="s">
        <v>304</v>
      </c>
      <c r="G83" s="47">
        <v>9946</v>
      </c>
      <c r="H83" s="48" t="s">
        <v>305</v>
      </c>
      <c r="I83" s="49">
        <v>636236</v>
      </c>
      <c r="J83" s="47">
        <v>97121</v>
      </c>
      <c r="K83" s="47" t="s">
        <v>306</v>
      </c>
      <c r="L83" s="47" t="str">
        <f>IF(14.4131*9946=0," ",TEXT(,ROUND((14.4131*9946*3.6),2)))</f>
        <v>516069.69</v>
      </c>
      <c r="M83" s="47" t="s">
        <v>307</v>
      </c>
      <c r="N83" s="47" t="s">
        <v>308</v>
      </c>
      <c r="O83" s="50"/>
      <c r="P83" s="50"/>
      <c r="Q83" s="50"/>
      <c r="R83" s="50"/>
      <c r="S83" s="50"/>
      <c r="T83" s="51"/>
      <c r="U83" s="51"/>
      <c r="V83" s="51"/>
      <c r="W83" s="51"/>
      <c r="X83" s="51"/>
      <c r="Y83" s="51"/>
      <c r="Z83" s="51"/>
      <c r="AA83" s="51" t="s">
        <v>80</v>
      </c>
      <c r="AB83" s="51" t="s">
        <v>81</v>
      </c>
      <c r="AC83" s="51">
        <v>92272</v>
      </c>
      <c r="AD83" s="51">
        <v>44130</v>
      </c>
      <c r="AE83" s="51"/>
      <c r="AF83" s="51" t="s">
        <v>309</v>
      </c>
      <c r="AG83" s="51" t="s">
        <v>58</v>
      </c>
      <c r="AH83" s="51"/>
      <c r="AI83" s="51">
        <f>97121+3175</f>
        <v>100296</v>
      </c>
    </row>
    <row r="84" spans="1:35" ht="51" x14ac:dyDescent="0.2">
      <c r="A84" s="44">
        <v>49</v>
      </c>
      <c r="B84" s="45" t="s">
        <v>310</v>
      </c>
      <c r="C84" s="46" t="str">
        <f t="shared" ca="1" si="2"/>
        <v xml:space="preserve">Металлочерепица «Монтеррей»
м2
</v>
      </c>
      <c r="D84" s="44">
        <v>-1845</v>
      </c>
      <c r="E84" s="47">
        <v>70.5</v>
      </c>
      <c r="F84" s="47"/>
      <c r="G84" s="47">
        <v>70.5</v>
      </c>
      <c r="H84" s="48" t="s">
        <v>311</v>
      </c>
      <c r="I84" s="49">
        <v>-496619</v>
      </c>
      <c r="J84" s="47"/>
      <c r="K84" s="47"/>
      <c r="L84" s="47" t="str">
        <f>IF(-1845*70.5=0," ",TEXT(,ROUND((-1845*70.5*3.818),2)))</f>
        <v>-496616.81</v>
      </c>
      <c r="M84" s="47"/>
      <c r="N84" s="47"/>
      <c r="O84" s="50"/>
      <c r="P84" s="50"/>
      <c r="Q84" s="50"/>
      <c r="R84" s="50"/>
      <c r="S84" s="50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 t="s">
        <v>312</v>
      </c>
      <c r="AG84" s="51" t="s">
        <v>160</v>
      </c>
      <c r="AH84" s="51"/>
      <c r="AI84" s="51">
        <f>0+0</f>
        <v>0</v>
      </c>
    </row>
    <row r="85" spans="1:35" ht="63.75" x14ac:dyDescent="0.2">
      <c r="A85" s="44">
        <v>50</v>
      </c>
      <c r="B85" s="45" t="s">
        <v>313</v>
      </c>
      <c r="C85" s="46" t="str">
        <f t="shared" ca="1" si="2"/>
        <v xml:space="preserve">Профилированный лист оцинкованный: НС44-1000-0,7
т
</v>
      </c>
      <c r="D85" s="44" t="s">
        <v>314</v>
      </c>
      <c r="E85" s="47">
        <v>10090.379999999999</v>
      </c>
      <c r="F85" s="47"/>
      <c r="G85" s="47">
        <v>10090.379999999999</v>
      </c>
      <c r="H85" s="48" t="s">
        <v>315</v>
      </c>
      <c r="I85" s="49">
        <v>435123</v>
      </c>
      <c r="J85" s="47"/>
      <c r="K85" s="47"/>
      <c r="L85" s="47" t="str">
        <f>IF(10.06126*10090.38=0," ",TEXT(,ROUND((10.06126*10090.38*4.286),2)))</f>
        <v>435123.02</v>
      </c>
      <c r="M85" s="47"/>
      <c r="N85" s="47"/>
      <c r="O85" s="50"/>
      <c r="P85" s="50"/>
      <c r="Q85" s="50"/>
      <c r="R85" s="50"/>
      <c r="S85" s="50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 t="s">
        <v>316</v>
      </c>
      <c r="AG85" s="51" t="s">
        <v>317</v>
      </c>
      <c r="AH85" s="51"/>
      <c r="AI85" s="51">
        <f>0+0</f>
        <v>0</v>
      </c>
    </row>
    <row r="86" spans="1:35" ht="63.75" x14ac:dyDescent="0.2">
      <c r="A86" s="44">
        <v>51</v>
      </c>
      <c r="B86" s="45" t="s">
        <v>318</v>
      </c>
      <c r="C86" s="46" t="str">
        <f t="shared" ca="1" si="2"/>
        <v xml:space="preserve">Сталь листовая оцинкованная толщиной листа: 0,55 мм
т
</v>
      </c>
      <c r="D86" s="44">
        <v>0.9889</v>
      </c>
      <c r="E86" s="47">
        <v>10484</v>
      </c>
      <c r="F86" s="47"/>
      <c r="G86" s="47">
        <v>10484</v>
      </c>
      <c r="H86" s="48" t="s">
        <v>319</v>
      </c>
      <c r="I86" s="49">
        <v>40632</v>
      </c>
      <c r="J86" s="47"/>
      <c r="K86" s="47"/>
      <c r="L86" s="47" t="str">
        <f>IF(0.9889*10484=0," ",TEXT(,ROUND((0.9889*10484*3.919),2)))</f>
        <v>40630.73</v>
      </c>
      <c r="M86" s="47"/>
      <c r="N86" s="47"/>
      <c r="O86" s="50"/>
      <c r="P86" s="50"/>
      <c r="Q86" s="50"/>
      <c r="R86" s="50"/>
      <c r="S86" s="50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 t="s">
        <v>320</v>
      </c>
      <c r="AG86" s="51" t="s">
        <v>317</v>
      </c>
      <c r="AH86" s="51"/>
      <c r="AI86" s="51">
        <f>0+0</f>
        <v>0</v>
      </c>
    </row>
    <row r="87" spans="1:35" ht="76.5" x14ac:dyDescent="0.2">
      <c r="A87" s="44">
        <v>52</v>
      </c>
      <c r="B87" s="45" t="s">
        <v>321</v>
      </c>
      <c r="C87" s="46" t="str">
        <f t="shared" ca="1" si="2"/>
        <v xml:space="preserve">Дополнительные элементы металлочерепичной кровли: коньковый элемент, разжелобки, профили с покрытием
м2
</v>
      </c>
      <c r="D87" s="44">
        <v>59.4</v>
      </c>
      <c r="E87" s="47">
        <v>164.28</v>
      </c>
      <c r="F87" s="47"/>
      <c r="G87" s="47">
        <v>164.28</v>
      </c>
      <c r="H87" s="48" t="s">
        <v>322</v>
      </c>
      <c r="I87" s="49">
        <v>48292</v>
      </c>
      <c r="J87" s="47"/>
      <c r="K87" s="47"/>
      <c r="L87" s="47" t="str">
        <f>IF(59.4*164.28=0," ",TEXT(,ROUND((59.4*164.28*4.949),2)))</f>
        <v>48293.49</v>
      </c>
      <c r="M87" s="47"/>
      <c r="N87" s="47"/>
      <c r="O87" s="50"/>
      <c r="P87" s="50"/>
      <c r="Q87" s="50"/>
      <c r="R87" s="50"/>
      <c r="S87" s="50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 t="s">
        <v>323</v>
      </c>
      <c r="AG87" s="51" t="s">
        <v>160</v>
      </c>
      <c r="AH87" s="51"/>
      <c r="AI87" s="51">
        <f>0+0</f>
        <v>0</v>
      </c>
    </row>
    <row r="88" spans="1:35" ht="102" x14ac:dyDescent="0.2">
      <c r="A88" s="44">
        <v>53</v>
      </c>
      <c r="B88" s="45" t="s">
        <v>324</v>
      </c>
      <c r="C88" s="46" t="str">
        <f t="shared" ca="1" si="2"/>
        <v xml:space="preserve">Резка стального профилированного настила
1 м реза
2872 руб. НР 69%=90%*(0,85*0,9) от ФОТ (4162 руб.)
2414 руб.СП 58%=85%*(0,8*0,85) от ФОТ (4162 руб.)
</v>
      </c>
      <c r="D88" s="44">
        <v>72</v>
      </c>
      <c r="E88" s="47" t="s">
        <v>325</v>
      </c>
      <c r="F88" s="47">
        <v>0.55000000000000004</v>
      </c>
      <c r="G88" s="47"/>
      <c r="H88" s="48" t="s">
        <v>326</v>
      </c>
      <c r="I88" s="49">
        <v>4272</v>
      </c>
      <c r="J88" s="47">
        <v>4162</v>
      </c>
      <c r="K88" s="47">
        <v>111</v>
      </c>
      <c r="L88" s="47" t="str">
        <f>IF(72*0=0," ",TEXT(,ROUND((72*0*1),2)))</f>
        <v xml:space="preserve"> </v>
      </c>
      <c r="M88" s="47">
        <v>0.34</v>
      </c>
      <c r="N88" s="47">
        <v>24.48</v>
      </c>
      <c r="O88" s="50"/>
      <c r="P88" s="50"/>
      <c r="Q88" s="50"/>
      <c r="R88" s="50"/>
      <c r="S88" s="50"/>
      <c r="T88" s="51"/>
      <c r="U88" s="51"/>
      <c r="V88" s="51"/>
      <c r="W88" s="51"/>
      <c r="X88" s="51"/>
      <c r="Y88" s="51"/>
      <c r="Z88" s="51"/>
      <c r="AA88" s="51" t="s">
        <v>226</v>
      </c>
      <c r="AB88" s="51" t="s">
        <v>227</v>
      </c>
      <c r="AC88" s="51">
        <v>2872</v>
      </c>
      <c r="AD88" s="51">
        <v>2414</v>
      </c>
      <c r="AE88" s="51"/>
      <c r="AF88" s="51" t="s">
        <v>327</v>
      </c>
      <c r="AG88" s="51" t="s">
        <v>328</v>
      </c>
      <c r="AH88" s="51"/>
      <c r="AI88" s="51">
        <f>4162+0</f>
        <v>4162</v>
      </c>
    </row>
    <row r="89" spans="1:35" ht="102" x14ac:dyDescent="0.2">
      <c r="A89" s="44">
        <v>54</v>
      </c>
      <c r="B89" s="45" t="s">
        <v>329</v>
      </c>
      <c r="C89" s="46" t="str">
        <f t="shared" ca="1" si="2"/>
        <v xml:space="preserve">Устройство желобов: настенных
100 м желобов
22927 руб. НР 92%=120%*(0,85*0,9) от ФОТ (24921 руб.)
10965 руб.СП 44%=65%*(0,8*0,85) от ФОТ (24921 руб.)
</v>
      </c>
      <c r="D89" s="44">
        <v>1.7464</v>
      </c>
      <c r="E89" s="47" t="s">
        <v>330</v>
      </c>
      <c r="F89" s="47" t="s">
        <v>331</v>
      </c>
      <c r="G89" s="47">
        <v>17933.62</v>
      </c>
      <c r="H89" s="48" t="s">
        <v>332</v>
      </c>
      <c r="I89" s="49">
        <v>158430</v>
      </c>
      <c r="J89" s="47">
        <v>23885</v>
      </c>
      <c r="K89" s="47" t="s">
        <v>333</v>
      </c>
      <c r="L89" s="47" t="str">
        <f>IF(1.7464*17933.62=0," ",TEXT(,ROUND((1.7464*17933.62*4.06),2)))</f>
        <v>127156.25</v>
      </c>
      <c r="M89" s="47" t="s">
        <v>334</v>
      </c>
      <c r="N89" s="47" t="s">
        <v>335</v>
      </c>
      <c r="O89" s="50"/>
      <c r="P89" s="50"/>
      <c r="Q89" s="50"/>
      <c r="R89" s="50"/>
      <c r="S89" s="50"/>
      <c r="T89" s="51"/>
      <c r="U89" s="51"/>
      <c r="V89" s="51"/>
      <c r="W89" s="51"/>
      <c r="X89" s="51"/>
      <c r="Y89" s="51"/>
      <c r="Z89" s="51"/>
      <c r="AA89" s="51" t="s">
        <v>80</v>
      </c>
      <c r="AB89" s="51" t="s">
        <v>81</v>
      </c>
      <c r="AC89" s="51">
        <v>22927</v>
      </c>
      <c r="AD89" s="51">
        <v>10965</v>
      </c>
      <c r="AE89" s="51"/>
      <c r="AF89" s="51" t="s">
        <v>336</v>
      </c>
      <c r="AG89" s="51" t="s">
        <v>337</v>
      </c>
      <c r="AH89" s="51"/>
      <c r="AI89" s="51">
        <f>23885+1036</f>
        <v>24921</v>
      </c>
    </row>
    <row r="90" spans="1:35" ht="76.5" x14ac:dyDescent="0.2">
      <c r="A90" s="44">
        <v>55</v>
      </c>
      <c r="B90" s="45" t="s">
        <v>338</v>
      </c>
      <c r="C90" s="46" t="str">
        <f t="shared" ca="1" si="2"/>
        <v xml:space="preserve">Доски обрезные хвойных пород длиной: 2-3,75 м, шириной 75-150 мм, толщиной 44 мм и более, III сорта
м3
</v>
      </c>
      <c r="D90" s="44">
        <v>-7.7709999999999999</v>
      </c>
      <c r="E90" s="47">
        <v>968</v>
      </c>
      <c r="F90" s="47"/>
      <c r="G90" s="47">
        <v>968</v>
      </c>
      <c r="H90" s="48" t="s">
        <v>339</v>
      </c>
      <c r="I90" s="49">
        <v>-41958</v>
      </c>
      <c r="J90" s="47"/>
      <c r="K90" s="47"/>
      <c r="L90" s="47" t="str">
        <f>IF(-7.771*968=0," ",TEXT(,ROUND((-7.771*968*5.578),2)))</f>
        <v>-41959.55</v>
      </c>
      <c r="M90" s="47"/>
      <c r="N90" s="47"/>
      <c r="O90" s="50"/>
      <c r="P90" s="50"/>
      <c r="Q90" s="50"/>
      <c r="R90" s="50"/>
      <c r="S90" s="50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 t="s">
        <v>340</v>
      </c>
      <c r="AG90" s="51" t="s">
        <v>198</v>
      </c>
      <c r="AH90" s="51"/>
      <c r="AI90" s="51">
        <f>0+0</f>
        <v>0</v>
      </c>
    </row>
    <row r="91" spans="1:35" ht="76.5" x14ac:dyDescent="0.2">
      <c r="A91" s="44">
        <v>56</v>
      </c>
      <c r="B91" s="45" t="s">
        <v>215</v>
      </c>
      <c r="C91" s="46" t="str">
        <f t="shared" ca="1" si="2"/>
        <v xml:space="preserve">Доски обрезные хвойных пород длиной: 4-6,5 м, шириной 75-150 мм, толщиной 44 мм и более, II сорта
м3
</v>
      </c>
      <c r="D91" s="44">
        <v>7.7709999999999999</v>
      </c>
      <c r="E91" s="47">
        <v>1320</v>
      </c>
      <c r="F91" s="47"/>
      <c r="G91" s="47">
        <v>1320</v>
      </c>
      <c r="H91" s="48" t="s">
        <v>216</v>
      </c>
      <c r="I91" s="49">
        <v>42632</v>
      </c>
      <c r="J91" s="47"/>
      <c r="K91" s="47"/>
      <c r="L91" s="47" t="str">
        <f>IF(7.771*1320=0," ",TEXT(,ROUND((7.771*1320*4.156),2)))</f>
        <v>42631.08</v>
      </c>
      <c r="M91" s="47"/>
      <c r="N91" s="47"/>
      <c r="O91" s="50"/>
      <c r="P91" s="50"/>
      <c r="Q91" s="50"/>
      <c r="R91" s="50"/>
      <c r="S91" s="50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 t="s">
        <v>217</v>
      </c>
      <c r="AG91" s="51" t="s">
        <v>198</v>
      </c>
      <c r="AH91" s="51"/>
      <c r="AI91" s="51">
        <f>0+0</f>
        <v>0</v>
      </c>
    </row>
    <row r="92" spans="1:35" ht="63.75" x14ac:dyDescent="0.2">
      <c r="A92" s="44">
        <v>57</v>
      </c>
      <c r="B92" s="45" t="s">
        <v>341</v>
      </c>
      <c r="C92" s="46" t="str">
        <f t="shared" ca="1" si="2"/>
        <v xml:space="preserve">Сталь листовая оцинкованная толщиной листа: 0,7 мм
т
</v>
      </c>
      <c r="D92" s="44">
        <v>-1.9390000000000001</v>
      </c>
      <c r="E92" s="47">
        <v>11200</v>
      </c>
      <c r="F92" s="47"/>
      <c r="G92" s="47">
        <v>11200</v>
      </c>
      <c r="H92" s="48" t="s">
        <v>342</v>
      </c>
      <c r="I92" s="49">
        <v>-79549</v>
      </c>
      <c r="J92" s="47"/>
      <c r="K92" s="47"/>
      <c r="L92" s="47" t="str">
        <f>IF(-1.939*11200=0," ",TEXT(,ROUND((-1.939*11200*3.663),2)))</f>
        <v>-79548.64</v>
      </c>
      <c r="M92" s="47"/>
      <c r="N92" s="47"/>
      <c r="O92" s="50"/>
      <c r="P92" s="50"/>
      <c r="Q92" s="50"/>
      <c r="R92" s="50"/>
      <c r="S92" s="50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 t="s">
        <v>343</v>
      </c>
      <c r="AG92" s="51" t="s">
        <v>317</v>
      </c>
      <c r="AH92" s="51"/>
      <c r="AI92" s="51">
        <f>0+0</f>
        <v>0</v>
      </c>
    </row>
    <row r="93" spans="1:35" ht="63.75" x14ac:dyDescent="0.2">
      <c r="A93" s="44">
        <v>58</v>
      </c>
      <c r="B93" s="45" t="s">
        <v>318</v>
      </c>
      <c r="C93" s="46" t="str">
        <f t="shared" ca="1" si="2"/>
        <v xml:space="preserve">Сталь листовая оцинкованная толщиной листа: 0,55 мм
т
</v>
      </c>
      <c r="D93" s="44">
        <v>1.5235000000000001</v>
      </c>
      <c r="E93" s="47">
        <v>10484</v>
      </c>
      <c r="F93" s="47"/>
      <c r="G93" s="47">
        <v>10484</v>
      </c>
      <c r="H93" s="48" t="s">
        <v>319</v>
      </c>
      <c r="I93" s="49">
        <v>62594</v>
      </c>
      <c r="J93" s="47"/>
      <c r="K93" s="47"/>
      <c r="L93" s="47" t="str">
        <f>IF(1.5235*10484=0," ",TEXT(,ROUND((1.5235*10484*3.919),2)))</f>
        <v>62595.73</v>
      </c>
      <c r="M93" s="47"/>
      <c r="N93" s="47"/>
      <c r="O93" s="50"/>
      <c r="P93" s="50"/>
      <c r="Q93" s="50"/>
      <c r="R93" s="50"/>
      <c r="S93" s="50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 t="s">
        <v>320</v>
      </c>
      <c r="AG93" s="51" t="s">
        <v>317</v>
      </c>
      <c r="AH93" s="51"/>
      <c r="AI93" s="51">
        <f>0+0</f>
        <v>0</v>
      </c>
    </row>
    <row r="94" spans="1:35" ht="102" x14ac:dyDescent="0.2">
      <c r="A94" s="44">
        <v>59</v>
      </c>
      <c r="B94" s="45" t="s">
        <v>344</v>
      </c>
      <c r="C94" s="46" t="str">
        <f t="shared" ca="1" si="2"/>
        <v xml:space="preserve">Ограждение кровель перилами
100 м ограждения
1892 руб. НР 92%=120%*(0,85*0,9) от ФОТ (2056 руб.)
905 руб.СП 44%=65%*(0,8*0,85) от ФОТ (2056 руб.)
</v>
      </c>
      <c r="D94" s="44">
        <v>1.704</v>
      </c>
      <c r="E94" s="47" t="s">
        <v>345</v>
      </c>
      <c r="F94" s="47" t="s">
        <v>346</v>
      </c>
      <c r="G94" s="47">
        <v>3032.91</v>
      </c>
      <c r="H94" s="48" t="s">
        <v>76</v>
      </c>
      <c r="I94" s="49">
        <v>42718</v>
      </c>
      <c r="J94" s="47">
        <v>1908</v>
      </c>
      <c r="K94" s="47" t="s">
        <v>347</v>
      </c>
      <c r="L94" s="47" t="str">
        <f>IF(1.704*3032.91=0," ",TEXT(,ROUND((1.704*3032.91*7.67),2)))</f>
        <v>39639.16</v>
      </c>
      <c r="M94" s="47" t="s">
        <v>348</v>
      </c>
      <c r="N94" s="47" t="s">
        <v>349</v>
      </c>
      <c r="O94" s="50"/>
      <c r="P94" s="50"/>
      <c r="Q94" s="50"/>
      <c r="R94" s="50"/>
      <c r="S94" s="50"/>
      <c r="T94" s="51"/>
      <c r="U94" s="51"/>
      <c r="V94" s="51"/>
      <c r="W94" s="51"/>
      <c r="X94" s="51"/>
      <c r="Y94" s="51"/>
      <c r="Z94" s="51"/>
      <c r="AA94" s="51" t="s">
        <v>80</v>
      </c>
      <c r="AB94" s="51" t="s">
        <v>81</v>
      </c>
      <c r="AC94" s="51">
        <v>1892</v>
      </c>
      <c r="AD94" s="51">
        <v>905</v>
      </c>
      <c r="AE94" s="51"/>
      <c r="AF94" s="51" t="s">
        <v>350</v>
      </c>
      <c r="AG94" s="51" t="s">
        <v>84</v>
      </c>
      <c r="AH94" s="51"/>
      <c r="AI94" s="51">
        <f>1908+148</f>
        <v>2056</v>
      </c>
    </row>
    <row r="95" spans="1:35" ht="102" x14ac:dyDescent="0.2">
      <c r="A95" s="44">
        <v>60</v>
      </c>
      <c r="B95" s="45" t="s">
        <v>351</v>
      </c>
      <c r="C95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 добор до проектного объема
т
</v>
      </c>
      <c r="D95" s="44">
        <v>0.95399999999999996</v>
      </c>
      <c r="E95" s="47">
        <v>10045</v>
      </c>
      <c r="F95" s="47"/>
      <c r="G95" s="47">
        <v>10045</v>
      </c>
      <c r="H95" s="48" t="s">
        <v>352</v>
      </c>
      <c r="I95" s="49">
        <v>73703</v>
      </c>
      <c r="J95" s="47"/>
      <c r="K95" s="47"/>
      <c r="L95" s="47" t="str">
        <f>IF(0.954*10045=0," ",TEXT(,ROUND((0.954*10045*7.691),2)))</f>
        <v>73702.31</v>
      </c>
      <c r="M95" s="47"/>
      <c r="N95" s="47"/>
      <c r="O95" s="50"/>
      <c r="P95" s="50"/>
      <c r="Q95" s="50"/>
      <c r="R95" s="50"/>
      <c r="S95" s="50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 t="s">
        <v>353</v>
      </c>
      <c r="AG95" s="51" t="s">
        <v>317</v>
      </c>
      <c r="AH95" s="51"/>
      <c r="AI95" s="51">
        <f>0+0</f>
        <v>0</v>
      </c>
    </row>
    <row r="96" spans="1:35" ht="102" x14ac:dyDescent="0.2">
      <c r="A96" s="44">
        <v>61</v>
      </c>
      <c r="B96" s="45" t="s">
        <v>344</v>
      </c>
      <c r="C96" s="46" t="str">
        <f t="shared" ca="1" si="2"/>
        <v xml:space="preserve">Снегозадержатели
100 м ограждения
1726 руб. НР 92%=120%*(0,85*0,9) от ФОТ (1876 руб.)
825 руб.СП 44%=65%*(0,8*0,85) от ФОТ (1876 руб.)
</v>
      </c>
      <c r="D96" s="44">
        <v>1.56</v>
      </c>
      <c r="E96" s="47" t="s">
        <v>345</v>
      </c>
      <c r="F96" s="47" t="s">
        <v>346</v>
      </c>
      <c r="G96" s="47">
        <v>3032.91</v>
      </c>
      <c r="H96" s="48" t="s">
        <v>76</v>
      </c>
      <c r="I96" s="49">
        <v>39102</v>
      </c>
      <c r="J96" s="47">
        <v>1744</v>
      </c>
      <c r="K96" s="47" t="s">
        <v>354</v>
      </c>
      <c r="L96" s="47" t="str">
        <f>IF(1.56*3032.91=0," ",TEXT(,ROUND((1.56*3032.91*7.67),2)))</f>
        <v>36289.37</v>
      </c>
      <c r="M96" s="47" t="s">
        <v>348</v>
      </c>
      <c r="N96" s="47" t="s">
        <v>355</v>
      </c>
      <c r="O96" s="50"/>
      <c r="P96" s="50"/>
      <c r="Q96" s="50"/>
      <c r="R96" s="50"/>
      <c r="S96" s="50"/>
      <c r="T96" s="51"/>
      <c r="U96" s="51"/>
      <c r="V96" s="51"/>
      <c r="W96" s="51"/>
      <c r="X96" s="51"/>
      <c r="Y96" s="51"/>
      <c r="Z96" s="51"/>
      <c r="AA96" s="51" t="s">
        <v>80</v>
      </c>
      <c r="AB96" s="51" t="s">
        <v>81</v>
      </c>
      <c r="AC96" s="51">
        <v>1726</v>
      </c>
      <c r="AD96" s="51">
        <v>825</v>
      </c>
      <c r="AE96" s="51"/>
      <c r="AF96" s="51" t="s">
        <v>356</v>
      </c>
      <c r="AG96" s="51" t="s">
        <v>84</v>
      </c>
      <c r="AH96" s="51"/>
      <c r="AI96" s="51">
        <f>1744+132</f>
        <v>1876</v>
      </c>
    </row>
    <row r="97" spans="1:35" ht="102" x14ac:dyDescent="0.2">
      <c r="A97" s="44">
        <v>62</v>
      </c>
      <c r="B97" s="45" t="s">
        <v>351</v>
      </c>
      <c r="C97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97" s="44">
        <v>-0.46800000000000003</v>
      </c>
      <c r="E97" s="47">
        <v>10045</v>
      </c>
      <c r="F97" s="47"/>
      <c r="G97" s="47">
        <v>10045</v>
      </c>
      <c r="H97" s="48" t="s">
        <v>352</v>
      </c>
      <c r="I97" s="49">
        <v>-36155</v>
      </c>
      <c r="J97" s="47"/>
      <c r="K97" s="47"/>
      <c r="L97" s="47" t="str">
        <f>IF(-0.468*10045=0," ",TEXT(,ROUND((-0.468*10045*7.691),2)))</f>
        <v>-36155.85</v>
      </c>
      <c r="M97" s="47"/>
      <c r="N97" s="47"/>
      <c r="O97" s="50"/>
      <c r="P97" s="50"/>
      <c r="Q97" s="50"/>
      <c r="R97" s="50"/>
      <c r="S97" s="50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 t="s">
        <v>357</v>
      </c>
      <c r="AG97" s="51" t="s">
        <v>317</v>
      </c>
      <c r="AH97" s="51"/>
      <c r="AI97" s="51">
        <f>0+0</f>
        <v>0</v>
      </c>
    </row>
    <row r="98" spans="1:35" ht="63.75" x14ac:dyDescent="0.2">
      <c r="A98" s="44">
        <v>63</v>
      </c>
      <c r="B98" s="45" t="s">
        <v>358</v>
      </c>
      <c r="C98" s="46" t="str">
        <f t="shared" ca="1" si="2"/>
        <v xml:space="preserve">Снегозадержатель длиной 3000 мм 1800/1,18/3/5,58=91,12
м
</v>
      </c>
      <c r="D98" s="44">
        <v>156</v>
      </c>
      <c r="E98" s="47">
        <v>91.12</v>
      </c>
      <c r="F98" s="47"/>
      <c r="G98" s="47">
        <v>91.12</v>
      </c>
      <c r="H98" s="48" t="s">
        <v>162</v>
      </c>
      <c r="I98" s="49">
        <v>79320</v>
      </c>
      <c r="J98" s="47"/>
      <c r="K98" s="47"/>
      <c r="L98" s="47" t="str">
        <f>IF(156*91.12=0," ",TEXT(,ROUND((156*91.12*5.58),2)))</f>
        <v>79318.14</v>
      </c>
      <c r="M98" s="47"/>
      <c r="N98" s="47"/>
      <c r="O98" s="50"/>
      <c r="P98" s="50"/>
      <c r="Q98" s="50"/>
      <c r="R98" s="50"/>
      <c r="S98" s="50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 t="s">
        <v>359</v>
      </c>
      <c r="AG98" s="51" t="s">
        <v>360</v>
      </c>
      <c r="AH98" s="51"/>
      <c r="AI98" s="51">
        <f>0+0</f>
        <v>0</v>
      </c>
    </row>
    <row r="99" spans="1:35" ht="89.25" x14ac:dyDescent="0.2">
      <c r="A99" s="44">
        <v>64</v>
      </c>
      <c r="B99" s="45" t="s">
        <v>344</v>
      </c>
      <c r="C99" s="46" t="str">
        <f t="shared" ca="1" si="2"/>
        <v xml:space="preserve">Страховочный трос
100 м ограждения
636 руб. НР 92%=120%*(0,85*0,9) от ФОТ (691 руб.)
304 руб.СП 44%=65%*(0,8*0,85) от ФОТ (691 руб.)
</v>
      </c>
      <c r="D99" s="44">
        <v>0.57999999999999996</v>
      </c>
      <c r="E99" s="47" t="s">
        <v>345</v>
      </c>
      <c r="F99" s="47" t="s">
        <v>346</v>
      </c>
      <c r="G99" s="47">
        <v>3032.91</v>
      </c>
      <c r="H99" s="48" t="s">
        <v>76</v>
      </c>
      <c r="I99" s="49">
        <v>14531</v>
      </c>
      <c r="J99" s="47">
        <v>642</v>
      </c>
      <c r="K99" s="47" t="s">
        <v>361</v>
      </c>
      <c r="L99" s="47" t="str">
        <f>IF(0.58*3032.91=0," ",TEXT(,ROUND((0.58*3032.91*7.67),2)))</f>
        <v>13492.2</v>
      </c>
      <c r="M99" s="47" t="s">
        <v>348</v>
      </c>
      <c r="N99" s="47" t="s">
        <v>362</v>
      </c>
      <c r="O99" s="50"/>
      <c r="P99" s="50"/>
      <c r="Q99" s="50"/>
      <c r="R99" s="50"/>
      <c r="S99" s="50"/>
      <c r="T99" s="51"/>
      <c r="U99" s="51"/>
      <c r="V99" s="51"/>
      <c r="W99" s="51"/>
      <c r="X99" s="51"/>
      <c r="Y99" s="51"/>
      <c r="Z99" s="51"/>
      <c r="AA99" s="51" t="s">
        <v>80</v>
      </c>
      <c r="AB99" s="51" t="s">
        <v>81</v>
      </c>
      <c r="AC99" s="51">
        <v>636</v>
      </c>
      <c r="AD99" s="51">
        <v>304</v>
      </c>
      <c r="AE99" s="51"/>
      <c r="AF99" s="51" t="s">
        <v>363</v>
      </c>
      <c r="AG99" s="51" t="s">
        <v>84</v>
      </c>
      <c r="AH99" s="51"/>
      <c r="AI99" s="51">
        <f>642+49</f>
        <v>691</v>
      </c>
    </row>
    <row r="100" spans="1:35" ht="102" x14ac:dyDescent="0.2">
      <c r="A100" s="44">
        <v>65</v>
      </c>
      <c r="B100" s="45" t="s">
        <v>351</v>
      </c>
      <c r="C100" s="46" t="str">
        <f t="shared" ca="1" si="2"/>
        <v xml:space="preserve">Конструктивные элементы вспомогательного назначения с преобладанием профильного проката собираемые из двух и более деталей, с отверстиями и без отверстий, соединяемые на сварке
т
</v>
      </c>
      <c r="D100" s="44">
        <v>-0.17399999999999999</v>
      </c>
      <c r="E100" s="47">
        <v>10045</v>
      </c>
      <c r="F100" s="47"/>
      <c r="G100" s="47">
        <v>10045</v>
      </c>
      <c r="H100" s="48" t="s">
        <v>352</v>
      </c>
      <c r="I100" s="49">
        <v>-13444</v>
      </c>
      <c r="J100" s="47"/>
      <c r="K100" s="47"/>
      <c r="L100" s="47" t="str">
        <f>IF(-0.174*10045=0," ",TEXT(,ROUND((-0.174*10045*7.691),2)))</f>
        <v>-13442.56</v>
      </c>
      <c r="M100" s="47"/>
      <c r="N100" s="47"/>
      <c r="O100" s="50"/>
      <c r="P100" s="50"/>
      <c r="Q100" s="50"/>
      <c r="R100" s="50"/>
      <c r="S100" s="50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 t="s">
        <v>364</v>
      </c>
      <c r="AG100" s="51" t="s">
        <v>317</v>
      </c>
      <c r="AH100" s="51"/>
      <c r="AI100" s="51">
        <f>0+0</f>
        <v>0</v>
      </c>
    </row>
    <row r="101" spans="1:35" ht="51" x14ac:dyDescent="0.2">
      <c r="A101" s="44">
        <v>66</v>
      </c>
      <c r="B101" s="45" t="s">
        <v>365</v>
      </c>
      <c r="C101" s="46" t="str">
        <f t="shared" ca="1" si="2"/>
        <v xml:space="preserve">Трос стальной
м
</v>
      </c>
      <c r="D101" s="44">
        <v>58</v>
      </c>
      <c r="E101" s="47">
        <v>12.03</v>
      </c>
      <c r="F101" s="47"/>
      <c r="G101" s="47">
        <v>12.03</v>
      </c>
      <c r="H101" s="48" t="s">
        <v>366</v>
      </c>
      <c r="I101" s="49">
        <v>4829</v>
      </c>
      <c r="J101" s="47"/>
      <c r="K101" s="47"/>
      <c r="L101" s="47" t="str">
        <f>IF(58*12.03=0," ",TEXT(,ROUND((58*12.03*6.918),2)))</f>
        <v>4826.97</v>
      </c>
      <c r="M101" s="47"/>
      <c r="N101" s="47"/>
      <c r="O101" s="50"/>
      <c r="P101" s="50"/>
      <c r="Q101" s="50"/>
      <c r="R101" s="50"/>
      <c r="S101" s="50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 t="s">
        <v>367</v>
      </c>
      <c r="AG101" s="51" t="s">
        <v>360</v>
      </c>
      <c r="AH101" s="51"/>
      <c r="AI101" s="51">
        <f>0+0</f>
        <v>0</v>
      </c>
    </row>
    <row r="102" spans="1:35" ht="76.5" x14ac:dyDescent="0.2">
      <c r="A102" s="44">
        <v>67</v>
      </c>
      <c r="B102" s="45" t="s">
        <v>368</v>
      </c>
      <c r="C102" s="46" t="str">
        <f t="shared" ca="1" si="2"/>
        <v xml:space="preserve">Анкерные детали из прямых или гнутых круглых стержней с резьбой (в комплекте с шайбами и гайками или без них): поставляемые отдельно
т
</v>
      </c>
      <c r="D102" s="44" t="s">
        <v>369</v>
      </c>
      <c r="E102" s="47">
        <v>10100</v>
      </c>
      <c r="F102" s="47"/>
      <c r="G102" s="47">
        <v>10100</v>
      </c>
      <c r="H102" s="48" t="s">
        <v>370</v>
      </c>
      <c r="I102" s="49">
        <v>116</v>
      </c>
      <c r="J102" s="47"/>
      <c r="K102" s="47"/>
      <c r="L102" s="47" t="str">
        <f>IF(0.0018*10100=0," ",TEXT(,ROUND((0.0018*10100*6.427),2)))</f>
        <v>116.84</v>
      </c>
      <c r="M102" s="47"/>
      <c r="N102" s="47"/>
      <c r="O102" s="50"/>
      <c r="P102" s="50"/>
      <c r="Q102" s="50"/>
      <c r="R102" s="50"/>
      <c r="S102" s="50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 t="s">
        <v>371</v>
      </c>
      <c r="AG102" s="51" t="s">
        <v>317</v>
      </c>
      <c r="AH102" s="51"/>
      <c r="AI102" s="51">
        <f>0+0</f>
        <v>0</v>
      </c>
    </row>
    <row r="103" spans="1:35" ht="89.25" x14ac:dyDescent="0.2">
      <c r="A103" s="44">
        <v>68</v>
      </c>
      <c r="B103" s="45" t="s">
        <v>344</v>
      </c>
      <c r="C103" s="46" t="str">
        <f t="shared" ca="1" si="2"/>
        <v xml:space="preserve">Устройство переходных лестниц  на кровле
100 м ограждения
257 руб. НР 92%=120%*(0,85*0,9) от ФОТ (279 руб.)
123 руб.СП 44%=65%*(0,8*0,85) от ФОТ (279 руб.)
</v>
      </c>
      <c r="D103" s="44">
        <v>0.24</v>
      </c>
      <c r="E103" s="47" t="s">
        <v>345</v>
      </c>
      <c r="F103" s="47" t="s">
        <v>346</v>
      </c>
      <c r="G103" s="47">
        <v>3032.91</v>
      </c>
      <c r="H103" s="48" t="s">
        <v>76</v>
      </c>
      <c r="I103" s="49">
        <v>6006</v>
      </c>
      <c r="J103" s="47">
        <v>263</v>
      </c>
      <c r="K103" s="47" t="s">
        <v>372</v>
      </c>
      <c r="L103" s="47" t="str">
        <f>IF(0.24*3032.91=0," ",TEXT(,ROUND((0.24*3032.91*7.67),2)))</f>
        <v>5582.98</v>
      </c>
      <c r="M103" s="47" t="s">
        <v>348</v>
      </c>
      <c r="N103" s="47" t="s">
        <v>373</v>
      </c>
      <c r="O103" s="50"/>
      <c r="P103" s="50"/>
      <c r="Q103" s="50"/>
      <c r="R103" s="50"/>
      <c r="S103" s="50"/>
      <c r="T103" s="51"/>
      <c r="U103" s="51"/>
      <c r="V103" s="51"/>
      <c r="W103" s="51"/>
      <c r="X103" s="51"/>
      <c r="Y103" s="51"/>
      <c r="Z103" s="51"/>
      <c r="AA103" s="51" t="s">
        <v>80</v>
      </c>
      <c r="AB103" s="51" t="s">
        <v>81</v>
      </c>
      <c r="AC103" s="51">
        <v>257</v>
      </c>
      <c r="AD103" s="51">
        <v>123</v>
      </c>
      <c r="AE103" s="51"/>
      <c r="AF103" s="51" t="s">
        <v>374</v>
      </c>
      <c r="AG103" s="51" t="s">
        <v>84</v>
      </c>
      <c r="AH103" s="51"/>
      <c r="AI103" s="51">
        <f>263+16</f>
        <v>279</v>
      </c>
    </row>
    <row r="104" spans="1:35" ht="102" x14ac:dyDescent="0.2">
      <c r="A104" s="44">
        <v>69</v>
      </c>
      <c r="B104" s="45" t="s">
        <v>351</v>
      </c>
      <c r="C104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4" s="44">
        <v>-7.1999999999999995E-2</v>
      </c>
      <c r="E104" s="47">
        <v>10045</v>
      </c>
      <c r="F104" s="47"/>
      <c r="G104" s="47">
        <v>10045</v>
      </c>
      <c r="H104" s="48" t="s">
        <v>352</v>
      </c>
      <c r="I104" s="49">
        <v>-5561</v>
      </c>
      <c r="J104" s="47"/>
      <c r="K104" s="47"/>
      <c r="L104" s="47" t="str">
        <f>IF(-0.072*10045=0," ",TEXT(,ROUND((-0.072*10045*7.691),2)))</f>
        <v>-5562.44</v>
      </c>
      <c r="M104" s="47"/>
      <c r="N104" s="47"/>
      <c r="O104" s="50"/>
      <c r="P104" s="50"/>
      <c r="Q104" s="50"/>
      <c r="R104" s="50"/>
      <c r="S104" s="50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 t="s">
        <v>357</v>
      </c>
      <c r="AG104" s="51" t="s">
        <v>317</v>
      </c>
      <c r="AH104" s="51"/>
      <c r="AI104" s="51">
        <f>0+0</f>
        <v>0</v>
      </c>
    </row>
    <row r="105" spans="1:35" ht="63.75" x14ac:dyDescent="0.2">
      <c r="A105" s="44">
        <v>70</v>
      </c>
      <c r="B105" s="45" t="s">
        <v>358</v>
      </c>
      <c r="C105" s="46" t="str">
        <f t="shared" ca="1" si="2"/>
        <v xml:space="preserve">Лестница кровельная длиной 1860 мм 2200/1,18/1,86/5,58=179,64
м
</v>
      </c>
      <c r="D105" s="44">
        <v>24</v>
      </c>
      <c r="E105" s="47">
        <v>179.64</v>
      </c>
      <c r="F105" s="47"/>
      <c r="G105" s="47">
        <v>179.64</v>
      </c>
      <c r="H105" s="48" t="s">
        <v>162</v>
      </c>
      <c r="I105" s="49">
        <v>24055</v>
      </c>
      <c r="J105" s="47"/>
      <c r="K105" s="47"/>
      <c r="L105" s="47" t="str">
        <f>IF(24*179.64=0," ",TEXT(,ROUND((24*179.64*5.58),2)))</f>
        <v>24057.39</v>
      </c>
      <c r="M105" s="47"/>
      <c r="N105" s="47"/>
      <c r="O105" s="50"/>
      <c r="P105" s="50"/>
      <c r="Q105" s="50"/>
      <c r="R105" s="50"/>
      <c r="S105" s="50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 t="s">
        <v>375</v>
      </c>
      <c r="AG105" s="51" t="s">
        <v>360</v>
      </c>
      <c r="AH105" s="51"/>
      <c r="AI105" s="51">
        <f>0+0</f>
        <v>0</v>
      </c>
    </row>
    <row r="106" spans="1:35" ht="76.5" x14ac:dyDescent="0.2">
      <c r="A106" s="44">
        <v>71</v>
      </c>
      <c r="B106" s="45" t="s">
        <v>344</v>
      </c>
      <c r="C106" s="46" t="str">
        <f t="shared" ca="1" si="2"/>
        <v xml:space="preserve">Устройство переходных мостиков  на кровле
100 м ограждения
45 руб. НР 92%=120%*(0,85*0,9) от ФОТ (49 руб.)
22 руб.СП 44%=65%*(0,8*0,85) от ФОТ (49 руб.)
</v>
      </c>
      <c r="D106" s="44" t="s">
        <v>376</v>
      </c>
      <c r="E106" s="47" t="s">
        <v>345</v>
      </c>
      <c r="F106" s="47" t="s">
        <v>346</v>
      </c>
      <c r="G106" s="47">
        <v>3032.91</v>
      </c>
      <c r="H106" s="48" t="s">
        <v>76</v>
      </c>
      <c r="I106" s="49">
        <v>1254</v>
      </c>
      <c r="J106" s="47">
        <v>49</v>
      </c>
      <c r="K106" s="47">
        <v>40</v>
      </c>
      <c r="L106" s="47" t="str">
        <f>IF(0.05*3032.91=0," ",TEXT(,ROUND((0.05*3032.91*7.67),2)))</f>
        <v>1163.12</v>
      </c>
      <c r="M106" s="47" t="s">
        <v>348</v>
      </c>
      <c r="N106" s="47" t="s">
        <v>377</v>
      </c>
      <c r="O106" s="50"/>
      <c r="P106" s="50"/>
      <c r="Q106" s="50"/>
      <c r="R106" s="50"/>
      <c r="S106" s="50"/>
      <c r="T106" s="51"/>
      <c r="U106" s="51"/>
      <c r="V106" s="51"/>
      <c r="W106" s="51"/>
      <c r="X106" s="51"/>
      <c r="Y106" s="51"/>
      <c r="Z106" s="51"/>
      <c r="AA106" s="51" t="s">
        <v>80</v>
      </c>
      <c r="AB106" s="51" t="s">
        <v>81</v>
      </c>
      <c r="AC106" s="51">
        <v>45</v>
      </c>
      <c r="AD106" s="51">
        <v>22</v>
      </c>
      <c r="AE106" s="51"/>
      <c r="AF106" s="51" t="s">
        <v>378</v>
      </c>
      <c r="AG106" s="51" t="s">
        <v>84</v>
      </c>
      <c r="AH106" s="51"/>
      <c r="AI106" s="51">
        <f>49+0</f>
        <v>49</v>
      </c>
    </row>
    <row r="107" spans="1:35" ht="102" x14ac:dyDescent="0.2">
      <c r="A107" s="44">
        <v>72</v>
      </c>
      <c r="B107" s="45" t="s">
        <v>351</v>
      </c>
      <c r="C107" s="46" t="str">
        <f t="shared" ca="1" si="2"/>
        <v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
т
</v>
      </c>
      <c r="D107" s="44">
        <v>-1.4999999999999999E-2</v>
      </c>
      <c r="E107" s="47">
        <v>10045</v>
      </c>
      <c r="F107" s="47"/>
      <c r="G107" s="47">
        <v>10045</v>
      </c>
      <c r="H107" s="48" t="s">
        <v>352</v>
      </c>
      <c r="I107" s="49">
        <v>-1161</v>
      </c>
      <c r="J107" s="47"/>
      <c r="K107" s="47"/>
      <c r="L107" s="47" t="str">
        <f>IF(-0.015*10045=0," ",TEXT(,ROUND((-0.015*10045*7.691),2)))</f>
        <v>-1158.84</v>
      </c>
      <c r="M107" s="47"/>
      <c r="N107" s="47"/>
      <c r="O107" s="50"/>
      <c r="P107" s="50"/>
      <c r="Q107" s="50"/>
      <c r="R107" s="50"/>
      <c r="S107" s="50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 t="s">
        <v>357</v>
      </c>
      <c r="AG107" s="51" t="s">
        <v>317</v>
      </c>
      <c r="AH107" s="51"/>
      <c r="AI107" s="51">
        <f>0+0</f>
        <v>0</v>
      </c>
    </row>
    <row r="108" spans="1:35" ht="51" x14ac:dyDescent="0.2">
      <c r="A108" s="44">
        <v>73</v>
      </c>
      <c r="B108" s="45" t="s">
        <v>379</v>
      </c>
      <c r="C108" s="46" t="str">
        <f t="shared" ca="1" si="2"/>
        <v xml:space="preserve">Переходный мостик 1250 мм 2250/1,18/5,58=341,72
шт
</v>
      </c>
      <c r="D108" s="44">
        <v>4</v>
      </c>
      <c r="E108" s="47">
        <v>341.72</v>
      </c>
      <c r="F108" s="47"/>
      <c r="G108" s="47">
        <v>341.72</v>
      </c>
      <c r="H108" s="48" t="s">
        <v>162</v>
      </c>
      <c r="I108" s="49">
        <v>7628</v>
      </c>
      <c r="J108" s="47"/>
      <c r="K108" s="47"/>
      <c r="L108" s="47" t="str">
        <f>IF(4*341.72=0," ",TEXT(,ROUND((4*341.72*5.58),2)))</f>
        <v>7627.19</v>
      </c>
      <c r="M108" s="47"/>
      <c r="N108" s="47"/>
      <c r="O108" s="50"/>
      <c r="P108" s="50"/>
      <c r="Q108" s="50"/>
      <c r="R108" s="50"/>
      <c r="S108" s="50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 t="s">
        <v>380</v>
      </c>
      <c r="AG108" s="51" t="s">
        <v>381</v>
      </c>
      <c r="AH108" s="51"/>
      <c r="AI108" s="51">
        <f>0+0</f>
        <v>0</v>
      </c>
    </row>
    <row r="109" spans="1:35" ht="89.25" x14ac:dyDescent="0.2">
      <c r="A109" s="44">
        <v>74</v>
      </c>
      <c r="B109" s="45" t="s">
        <v>382</v>
      </c>
      <c r="C109" s="46" t="str">
        <f t="shared" ca="1" si="2"/>
        <v xml:space="preserve">Перенавеска водосточных труб: с земли, лестниц или подмостей
100 м труб
7557 руб. НР 71%=83%*0,85 от ФОТ (10643 руб.)
5534 руб.СП 52%=65%*0,8 от ФОТ (10643 руб.)
</v>
      </c>
      <c r="D109" s="44">
        <v>1.24</v>
      </c>
      <c r="E109" s="47" t="s">
        <v>383</v>
      </c>
      <c r="F109" s="47"/>
      <c r="G109" s="47">
        <v>8.02</v>
      </c>
      <c r="H109" s="48" t="s">
        <v>384</v>
      </c>
      <c r="I109" s="49">
        <v>10677</v>
      </c>
      <c r="J109" s="47">
        <v>10643</v>
      </c>
      <c r="K109" s="47"/>
      <c r="L109" s="47" t="str">
        <f>IF(1.24*8.02=0," ",TEXT(,ROUND((1.24*8.02*3.39),2)))</f>
        <v>33.71</v>
      </c>
      <c r="M109" s="47">
        <v>60.4</v>
      </c>
      <c r="N109" s="47">
        <v>74.900000000000006</v>
      </c>
      <c r="O109" s="50"/>
      <c r="P109" s="50"/>
      <c r="Q109" s="50"/>
      <c r="R109" s="50"/>
      <c r="S109" s="50"/>
      <c r="T109" s="51"/>
      <c r="U109" s="51"/>
      <c r="V109" s="51"/>
      <c r="W109" s="51"/>
      <c r="X109" s="51"/>
      <c r="Y109" s="51"/>
      <c r="Z109" s="51"/>
      <c r="AA109" s="51" t="s">
        <v>41</v>
      </c>
      <c r="AB109" s="51" t="s">
        <v>42</v>
      </c>
      <c r="AC109" s="51">
        <v>7557</v>
      </c>
      <c r="AD109" s="51">
        <v>5534</v>
      </c>
      <c r="AE109" s="51"/>
      <c r="AF109" s="51" t="s">
        <v>385</v>
      </c>
      <c r="AG109" s="51" t="s">
        <v>386</v>
      </c>
      <c r="AH109" s="51"/>
      <c r="AI109" s="51">
        <f>10643+0</f>
        <v>10643</v>
      </c>
    </row>
    <row r="110" spans="1:35" ht="76.5" x14ac:dyDescent="0.2">
      <c r="A110" s="44">
        <v>75</v>
      </c>
      <c r="B110" s="45" t="s">
        <v>387</v>
      </c>
      <c r="C110" s="46" t="str">
        <f t="shared" ca="1" si="2"/>
        <v xml:space="preserve">Звенья водосточных труб из оцинкованной стали толщиной 0,55 мм, диаметром 140 мм, марка ТВ-140
м
</v>
      </c>
      <c r="D110" s="44">
        <v>124</v>
      </c>
      <c r="E110" s="47">
        <v>56.5</v>
      </c>
      <c r="F110" s="47"/>
      <c r="G110" s="47">
        <v>56.5</v>
      </c>
      <c r="H110" s="48" t="s">
        <v>388</v>
      </c>
      <c r="I110" s="49">
        <v>18587</v>
      </c>
      <c r="J110" s="47"/>
      <c r="K110" s="47"/>
      <c r="L110" s="47" t="str">
        <f>IF(124*56.5=0," ",TEXT(,ROUND((124*56.5*2.653),2)))</f>
        <v>18586.92</v>
      </c>
      <c r="M110" s="47"/>
      <c r="N110" s="47"/>
      <c r="O110" s="50"/>
      <c r="P110" s="50"/>
      <c r="Q110" s="50"/>
      <c r="R110" s="50"/>
      <c r="S110" s="50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 t="s">
        <v>389</v>
      </c>
      <c r="AG110" s="51" t="s">
        <v>360</v>
      </c>
      <c r="AH110" s="51"/>
      <c r="AI110" s="51">
        <f>0+0</f>
        <v>0</v>
      </c>
    </row>
    <row r="111" spans="1:35" ht="63.75" x14ac:dyDescent="0.2">
      <c r="A111" s="44">
        <v>76</v>
      </c>
      <c r="B111" s="45" t="s">
        <v>390</v>
      </c>
      <c r="C111" s="46" t="str">
        <f t="shared" ca="1" si="2"/>
        <v xml:space="preserve">Воронка водосточная из оцинкованной стали толщиной 0,55 диаметром 215 мм
шт.
</v>
      </c>
      <c r="D111" s="44">
        <v>8</v>
      </c>
      <c r="E111" s="47">
        <v>67.8</v>
      </c>
      <c r="F111" s="47"/>
      <c r="G111" s="47">
        <v>67.8</v>
      </c>
      <c r="H111" s="48" t="s">
        <v>391</v>
      </c>
      <c r="I111" s="49">
        <v>1625</v>
      </c>
      <c r="J111" s="47"/>
      <c r="K111" s="47"/>
      <c r="L111" s="47" t="str">
        <f>IF(8*67.8=0," ",TEXT(,ROUND((8*67.8*2.998),2)))</f>
        <v>1626.12</v>
      </c>
      <c r="M111" s="47"/>
      <c r="N111" s="47"/>
      <c r="O111" s="50"/>
      <c r="P111" s="50"/>
      <c r="Q111" s="50"/>
      <c r="R111" s="50"/>
      <c r="S111" s="50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 t="s">
        <v>392</v>
      </c>
      <c r="AG111" s="51" t="s">
        <v>232</v>
      </c>
      <c r="AH111" s="51"/>
      <c r="AI111" s="51">
        <f>0+0</f>
        <v>0</v>
      </c>
    </row>
    <row r="112" spans="1:35" ht="63.75" x14ac:dyDescent="0.2">
      <c r="A112" s="44">
        <v>77</v>
      </c>
      <c r="B112" s="45" t="s">
        <v>393</v>
      </c>
      <c r="C112" s="46" t="str">
        <f t="shared" ca="1" si="2"/>
        <v xml:space="preserve">Колено из оцинкованной стали толщиной 0,55 мм, диаметром 140 мм, марка ТВ-140
шт.
</v>
      </c>
      <c r="D112" s="44">
        <v>16</v>
      </c>
      <c r="E112" s="47">
        <v>34.799999999999997</v>
      </c>
      <c r="F112" s="47"/>
      <c r="G112" s="47">
        <v>34.799999999999997</v>
      </c>
      <c r="H112" s="48" t="s">
        <v>394</v>
      </c>
      <c r="I112" s="49">
        <v>2235</v>
      </c>
      <c r="J112" s="47"/>
      <c r="K112" s="47"/>
      <c r="L112" s="47" t="str">
        <f>IF(16*34.8=0," ",TEXT(,ROUND((16*34.8*4.013),2)))</f>
        <v>2234.44</v>
      </c>
      <c r="M112" s="47"/>
      <c r="N112" s="47"/>
      <c r="O112" s="50"/>
      <c r="P112" s="50"/>
      <c r="Q112" s="50"/>
      <c r="R112" s="50"/>
      <c r="S112" s="50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 t="s">
        <v>395</v>
      </c>
      <c r="AG112" s="51" t="s">
        <v>232</v>
      </c>
      <c r="AH112" s="51"/>
      <c r="AI112" s="51">
        <f>0+0</f>
        <v>0</v>
      </c>
    </row>
    <row r="113" spans="1:35" ht="63.75" x14ac:dyDescent="0.2">
      <c r="A113" s="44">
        <v>78</v>
      </c>
      <c r="B113" s="45" t="s">
        <v>396</v>
      </c>
      <c r="C113" s="46" t="str">
        <f t="shared" ca="1" si="2"/>
        <v xml:space="preserve">Отливы (отметы) из оцинкованной стали толщиной 0,55 мм диаметром 140 мм
шт.
</v>
      </c>
      <c r="D113" s="44">
        <v>8</v>
      </c>
      <c r="E113" s="47">
        <v>35.9</v>
      </c>
      <c r="F113" s="47"/>
      <c r="G113" s="47">
        <v>35.9</v>
      </c>
      <c r="H113" s="48" t="s">
        <v>397</v>
      </c>
      <c r="I113" s="49">
        <v>1119</v>
      </c>
      <c r="J113" s="47"/>
      <c r="K113" s="47"/>
      <c r="L113" s="47" t="str">
        <f>IF(8*35.9=0," ",TEXT(,ROUND((8*35.9*3.9),2)))</f>
        <v>1120.08</v>
      </c>
      <c r="M113" s="47"/>
      <c r="N113" s="47"/>
      <c r="O113" s="50"/>
      <c r="P113" s="50"/>
      <c r="Q113" s="50"/>
      <c r="R113" s="50"/>
      <c r="S113" s="50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 t="s">
        <v>398</v>
      </c>
      <c r="AG113" s="51" t="s">
        <v>232</v>
      </c>
      <c r="AH113" s="51"/>
      <c r="AI113" s="51">
        <f>0+0</f>
        <v>0</v>
      </c>
    </row>
    <row r="114" spans="1:35" ht="63.75" x14ac:dyDescent="0.2">
      <c r="A114" s="54">
        <v>79</v>
      </c>
      <c r="B114" s="55" t="s">
        <v>399</v>
      </c>
      <c r="C114" s="56" t="str">
        <f t="shared" ca="1" si="2"/>
        <v xml:space="preserve">Поковки из квадратных заготовок, масса 1,8 кг хомуты
т
</v>
      </c>
      <c r="D114" s="54" t="s">
        <v>400</v>
      </c>
      <c r="E114" s="57">
        <v>5989</v>
      </c>
      <c r="F114" s="57"/>
      <c r="G114" s="57">
        <v>5989</v>
      </c>
      <c r="H114" s="58" t="s">
        <v>401</v>
      </c>
      <c r="I114" s="59">
        <v>4783</v>
      </c>
      <c r="J114" s="57"/>
      <c r="K114" s="57"/>
      <c r="L114" s="57" t="str">
        <f>IF(0.1872*5989=0," ",TEXT(,ROUND((0.1872*5989*4.267),2)))</f>
        <v>4783.91</v>
      </c>
      <c r="M114" s="57"/>
      <c r="N114" s="57"/>
      <c r="O114" s="50"/>
      <c r="P114" s="50"/>
      <c r="Q114" s="50"/>
      <c r="R114" s="50"/>
      <c r="S114" s="50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 t="s">
        <v>402</v>
      </c>
      <c r="AG114" s="51" t="s">
        <v>317</v>
      </c>
      <c r="AH114" s="51"/>
      <c r="AI114" s="51">
        <f>0+0</f>
        <v>0</v>
      </c>
    </row>
    <row r="115" spans="1:35" ht="25.5" x14ac:dyDescent="0.2">
      <c r="A115" s="92" t="s">
        <v>133</v>
      </c>
      <c r="B115" s="93"/>
      <c r="C115" s="93"/>
      <c r="D115" s="93"/>
      <c r="E115" s="93"/>
      <c r="F115" s="93"/>
      <c r="G115" s="93"/>
      <c r="H115" s="93"/>
      <c r="I115" s="49">
        <v>375416</v>
      </c>
      <c r="J115" s="47">
        <v>20411</v>
      </c>
      <c r="K115" s="47" t="s">
        <v>403</v>
      </c>
      <c r="L115" s="47">
        <v>348668</v>
      </c>
      <c r="M115" s="47"/>
      <c r="N115" s="47" t="s">
        <v>404</v>
      </c>
      <c r="O115" s="18"/>
      <c r="P115" s="19"/>
      <c r="Q115" s="18"/>
      <c r="R115" s="18"/>
      <c r="S115" s="18"/>
    </row>
    <row r="116" spans="1:35" ht="25.5" x14ac:dyDescent="0.2">
      <c r="A116" s="92" t="s">
        <v>235</v>
      </c>
      <c r="B116" s="93"/>
      <c r="C116" s="93"/>
      <c r="D116" s="93"/>
      <c r="E116" s="93"/>
      <c r="F116" s="93"/>
      <c r="G116" s="93"/>
      <c r="H116" s="93"/>
      <c r="I116" s="49">
        <v>379522</v>
      </c>
      <c r="J116" s="47">
        <v>23024</v>
      </c>
      <c r="K116" s="47" t="s">
        <v>405</v>
      </c>
      <c r="L116" s="47">
        <v>348668</v>
      </c>
      <c r="M116" s="47"/>
      <c r="N116" s="47" t="s">
        <v>406</v>
      </c>
      <c r="O116" s="18"/>
      <c r="P116" s="19"/>
      <c r="Q116" s="18"/>
      <c r="R116" s="18"/>
      <c r="S116" s="18"/>
    </row>
    <row r="117" spans="1:35" x14ac:dyDescent="0.2">
      <c r="A117" s="92" t="s">
        <v>238</v>
      </c>
      <c r="B117" s="93"/>
      <c r="C117" s="93"/>
      <c r="D117" s="93"/>
      <c r="E117" s="93"/>
      <c r="F117" s="93"/>
      <c r="G117" s="93"/>
      <c r="H117" s="93"/>
      <c r="I117" s="49"/>
      <c r="J117" s="47"/>
      <c r="K117" s="47"/>
      <c r="L117" s="47"/>
      <c r="M117" s="47"/>
      <c r="N117" s="47"/>
      <c r="O117" s="18"/>
      <c r="P117" s="19"/>
      <c r="Q117" s="18"/>
      <c r="R117" s="18"/>
      <c r="S117" s="18"/>
    </row>
    <row r="118" spans="1:35" ht="27.95" customHeight="1" x14ac:dyDescent="0.2">
      <c r="A118" s="92" t="s">
        <v>407</v>
      </c>
      <c r="B118" s="93"/>
      <c r="C118" s="93"/>
      <c r="D118" s="93"/>
      <c r="E118" s="93"/>
      <c r="F118" s="93"/>
      <c r="G118" s="93"/>
      <c r="H118" s="93"/>
      <c r="I118" s="49">
        <v>4106</v>
      </c>
      <c r="J118" s="47">
        <v>2614</v>
      </c>
      <c r="K118" s="47" t="s">
        <v>408</v>
      </c>
      <c r="L118" s="47"/>
      <c r="M118" s="47"/>
      <c r="N118" s="47" t="s">
        <v>409</v>
      </c>
      <c r="O118" s="18"/>
      <c r="P118" s="19"/>
      <c r="Q118" s="18"/>
      <c r="R118" s="18"/>
      <c r="S118" s="18"/>
    </row>
    <row r="119" spans="1:35" ht="25.5" x14ac:dyDescent="0.2">
      <c r="A119" s="92" t="s">
        <v>136</v>
      </c>
      <c r="B119" s="93"/>
      <c r="C119" s="93"/>
      <c r="D119" s="93"/>
      <c r="E119" s="93"/>
      <c r="F119" s="93"/>
      <c r="G119" s="93"/>
      <c r="H119" s="93"/>
      <c r="I119" s="49">
        <v>1986271</v>
      </c>
      <c r="J119" s="47">
        <v>378744</v>
      </c>
      <c r="K119" s="47" t="s">
        <v>410</v>
      </c>
      <c r="L119" s="47">
        <v>1521959</v>
      </c>
      <c r="M119" s="47"/>
      <c r="N119" s="47" t="s">
        <v>406</v>
      </c>
      <c r="O119" s="18"/>
      <c r="P119" s="19"/>
      <c r="Q119" s="18"/>
      <c r="R119" s="18"/>
      <c r="S119" s="18"/>
    </row>
    <row r="120" spans="1:35" x14ac:dyDescent="0.2">
      <c r="A120" s="92" t="s">
        <v>138</v>
      </c>
      <c r="B120" s="93"/>
      <c r="C120" s="93"/>
      <c r="D120" s="93"/>
      <c r="E120" s="93"/>
      <c r="F120" s="93"/>
      <c r="G120" s="93"/>
      <c r="H120" s="93"/>
      <c r="I120" s="49">
        <v>339960</v>
      </c>
      <c r="J120" s="47"/>
      <c r="K120" s="47"/>
      <c r="L120" s="47"/>
      <c r="M120" s="47"/>
      <c r="N120" s="47"/>
      <c r="O120" s="18"/>
      <c r="P120" s="19"/>
      <c r="Q120" s="18"/>
      <c r="R120" s="18"/>
      <c r="S120" s="18"/>
    </row>
    <row r="121" spans="1:35" x14ac:dyDescent="0.2">
      <c r="A121" s="92" t="s">
        <v>139</v>
      </c>
      <c r="B121" s="93"/>
      <c r="C121" s="93"/>
      <c r="D121" s="93"/>
      <c r="E121" s="93"/>
      <c r="F121" s="93"/>
      <c r="G121" s="93"/>
      <c r="H121" s="93"/>
      <c r="I121" s="49">
        <v>172544</v>
      </c>
      <c r="J121" s="47"/>
      <c r="K121" s="47"/>
      <c r="L121" s="47"/>
      <c r="M121" s="47"/>
      <c r="N121" s="47"/>
      <c r="O121" s="18"/>
      <c r="P121" s="19"/>
      <c r="Q121" s="18"/>
      <c r="R121" s="18"/>
      <c r="S121" s="18"/>
    </row>
    <row r="122" spans="1:35" ht="25.5" x14ac:dyDescent="0.2">
      <c r="A122" s="73" t="s">
        <v>411</v>
      </c>
      <c r="B122" s="74"/>
      <c r="C122" s="74"/>
      <c r="D122" s="74"/>
      <c r="E122" s="74"/>
      <c r="F122" s="74"/>
      <c r="G122" s="74"/>
      <c r="H122" s="74"/>
      <c r="I122" s="59">
        <v>2498775</v>
      </c>
      <c r="J122" s="57"/>
      <c r="K122" s="57"/>
      <c r="L122" s="57"/>
      <c r="M122" s="57"/>
      <c r="N122" s="57" t="s">
        <v>406</v>
      </c>
      <c r="O122" s="18"/>
      <c r="P122" s="19"/>
      <c r="Q122" s="18"/>
      <c r="R122" s="18"/>
      <c r="S122" s="18"/>
    </row>
    <row r="123" spans="1:35" ht="21" customHeight="1" x14ac:dyDescent="0.2">
      <c r="A123" s="90" t="s">
        <v>412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</row>
    <row r="124" spans="1:35" ht="102" x14ac:dyDescent="0.2">
      <c r="A124" s="44">
        <v>80</v>
      </c>
      <c r="B124" s="45" t="s">
        <v>413</v>
      </c>
      <c r="C124" s="46" t="str">
        <f t="shared" ref="C124:C132" ca="1" si="3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Кладка стен приямков и каналов
1 м3 кладки
4192 руб. НР 93%=122%*(0,85*0,9) от ФОТ (4507 руб.)
2434 руб.СП 54%=80%*(0,8*0,85) от ФОТ (4507 руб.)
</v>
      </c>
      <c r="D124" s="44">
        <v>3.7</v>
      </c>
      <c r="E124" s="47" t="s">
        <v>414</v>
      </c>
      <c r="F124" s="47" t="s">
        <v>415</v>
      </c>
      <c r="G124" s="47">
        <v>823.32</v>
      </c>
      <c r="H124" s="48" t="s">
        <v>416</v>
      </c>
      <c r="I124" s="49">
        <v>19963</v>
      </c>
      <c r="J124" s="47">
        <v>4129</v>
      </c>
      <c r="K124" s="47" t="s">
        <v>417</v>
      </c>
      <c r="L124" s="47" t="str">
        <f>IF(3.7*823.32=0," ",TEXT(,ROUND((3.7*823.32*4.63),2)))</f>
        <v>14104.29</v>
      </c>
      <c r="M124" s="47" t="s">
        <v>418</v>
      </c>
      <c r="N124" s="47" t="s">
        <v>419</v>
      </c>
      <c r="O124" s="50"/>
      <c r="P124" s="50"/>
      <c r="Q124" s="50"/>
      <c r="R124" s="50"/>
      <c r="S124" s="50"/>
      <c r="T124" s="51"/>
      <c r="U124" s="51"/>
      <c r="V124" s="51"/>
      <c r="W124" s="51"/>
      <c r="X124" s="51"/>
      <c r="Y124" s="51"/>
      <c r="Z124" s="51"/>
      <c r="AA124" s="51" t="s">
        <v>149</v>
      </c>
      <c r="AB124" s="51" t="s">
        <v>150</v>
      </c>
      <c r="AC124" s="51">
        <v>4192</v>
      </c>
      <c r="AD124" s="51">
        <v>2434</v>
      </c>
      <c r="AE124" s="51"/>
      <c r="AF124" s="51" t="s">
        <v>420</v>
      </c>
      <c r="AG124" s="51" t="s">
        <v>152</v>
      </c>
      <c r="AH124" s="51"/>
      <c r="AI124" s="51">
        <f>4129+378</f>
        <v>4507</v>
      </c>
    </row>
    <row r="125" spans="1:35" ht="102" x14ac:dyDescent="0.2">
      <c r="A125" s="44">
        <v>81</v>
      </c>
      <c r="B125" s="45" t="s">
        <v>421</v>
      </c>
      <c r="C125" s="46" t="str">
        <f t="shared" ca="1" si="3"/>
        <v xml:space="preserve">Установка элементов каркаса: из брусьев
1 м3 древесины в конструкции
2058 руб. НР 90%=118%*(0,85*0,9) от ФОТ (2287 руб.)
983 руб.СП 43%=63%*(0,8*0,85) от ФОТ (2287 руб.)
</v>
      </c>
      <c r="D125" s="44">
        <v>0.64</v>
      </c>
      <c r="E125" s="47" t="s">
        <v>219</v>
      </c>
      <c r="F125" s="47">
        <v>33.51</v>
      </c>
      <c r="G125" s="47">
        <v>2189</v>
      </c>
      <c r="H125" s="48" t="s">
        <v>220</v>
      </c>
      <c r="I125" s="49">
        <v>7296</v>
      </c>
      <c r="J125" s="47">
        <v>2287</v>
      </c>
      <c r="K125" s="47">
        <v>288</v>
      </c>
      <c r="L125" s="47" t="str">
        <f>IF(0.64*2189=0," ",TEXT(,ROUND((0.64*2189*3.37),2)))</f>
        <v>4721.24</v>
      </c>
      <c r="M125" s="47">
        <v>22.5</v>
      </c>
      <c r="N125" s="47">
        <v>14.4</v>
      </c>
      <c r="O125" s="50"/>
      <c r="P125" s="50"/>
      <c r="Q125" s="50"/>
      <c r="R125" s="50"/>
      <c r="S125" s="50"/>
      <c r="T125" s="51"/>
      <c r="U125" s="51"/>
      <c r="V125" s="51"/>
      <c r="W125" s="51"/>
      <c r="X125" s="51"/>
      <c r="Y125" s="51"/>
      <c r="Z125" s="51"/>
      <c r="AA125" s="51" t="s">
        <v>208</v>
      </c>
      <c r="AB125" s="51" t="s">
        <v>209</v>
      </c>
      <c r="AC125" s="51">
        <v>2058</v>
      </c>
      <c r="AD125" s="51">
        <v>983</v>
      </c>
      <c r="AE125" s="51"/>
      <c r="AF125" s="51" t="s">
        <v>221</v>
      </c>
      <c r="AG125" s="51" t="s">
        <v>222</v>
      </c>
      <c r="AH125" s="51"/>
      <c r="AI125" s="51">
        <f>2287+0</f>
        <v>2287</v>
      </c>
    </row>
    <row r="126" spans="1:35" ht="127.5" x14ac:dyDescent="0.2">
      <c r="A126" s="44">
        <v>82</v>
      </c>
      <c r="B126" s="45" t="s">
        <v>422</v>
      </c>
      <c r="C126" s="46" t="str">
        <f t="shared" ca="1" si="3"/>
        <v xml:space="preserve">Изоляция изделиями из волокнистых и зернистых материалов с креплением на клее и дюбелями холодных поверхностей: наружных стен
100 м2 поверхности
1609 руб. НР 77%=100%*(0,85*0,9) от ФОТ (2089 руб.)
1003 руб.СП 48%=70%*(0,8*0,85) от ФОТ (2089 руб.)
</v>
      </c>
      <c r="D126" s="44">
        <v>0.83</v>
      </c>
      <c r="E126" s="47" t="s">
        <v>423</v>
      </c>
      <c r="F126" s="47" t="s">
        <v>424</v>
      </c>
      <c r="G126" s="47">
        <v>105.45</v>
      </c>
      <c r="H126" s="48" t="s">
        <v>425</v>
      </c>
      <c r="I126" s="49">
        <v>2307</v>
      </c>
      <c r="J126" s="47">
        <v>2089</v>
      </c>
      <c r="K126" s="47">
        <v>94</v>
      </c>
      <c r="L126" s="47" t="str">
        <f>IF(0.83*105.45=0," ",TEXT(,ROUND((0.83*105.45*1.42),2)))</f>
        <v>124.28</v>
      </c>
      <c r="M126" s="47" t="s">
        <v>426</v>
      </c>
      <c r="N126" s="47" t="s">
        <v>427</v>
      </c>
      <c r="O126" s="50"/>
      <c r="P126" s="50"/>
      <c r="Q126" s="50"/>
      <c r="R126" s="50"/>
      <c r="S126" s="50"/>
      <c r="T126" s="51"/>
      <c r="U126" s="51"/>
      <c r="V126" s="51"/>
      <c r="W126" s="51"/>
      <c r="X126" s="51"/>
      <c r="Y126" s="51"/>
      <c r="Z126" s="51"/>
      <c r="AA126" s="51" t="s">
        <v>428</v>
      </c>
      <c r="AB126" s="51" t="s">
        <v>34</v>
      </c>
      <c r="AC126" s="51">
        <v>1609</v>
      </c>
      <c r="AD126" s="51">
        <v>1003</v>
      </c>
      <c r="AE126" s="51"/>
      <c r="AF126" s="51" t="s">
        <v>429</v>
      </c>
      <c r="AG126" s="51" t="s">
        <v>430</v>
      </c>
      <c r="AH126" s="51"/>
      <c r="AI126" s="51">
        <f>2089+0</f>
        <v>2089</v>
      </c>
    </row>
    <row r="127" spans="1:35" ht="76.5" x14ac:dyDescent="0.2">
      <c r="A127" s="44">
        <v>83</v>
      </c>
      <c r="B127" s="45" t="s">
        <v>195</v>
      </c>
      <c r="C127" s="46" t="str">
        <f t="shared" ca="1" si="3"/>
        <v xml:space="preserve">Плиты теплоизоляционные энергетические гидрофобизированные базальтовые: ПТЭ-125 , размером 2000х1000х50 мм 3828,81/5,58=686,17
м3
</v>
      </c>
      <c r="D127" s="44" t="s">
        <v>431</v>
      </c>
      <c r="E127" s="47">
        <v>686.17</v>
      </c>
      <c r="F127" s="47"/>
      <c r="G127" s="47">
        <v>686.17</v>
      </c>
      <c r="H127" s="48" t="s">
        <v>162</v>
      </c>
      <c r="I127" s="49">
        <v>16366</v>
      </c>
      <c r="J127" s="47"/>
      <c r="K127" s="47"/>
      <c r="L127" s="47" t="str">
        <f>IF(4.2745*686.17=0," ",TEXT(,ROUND((4.2745*686.17*5.58),2)))</f>
        <v>16366.33</v>
      </c>
      <c r="M127" s="47"/>
      <c r="N127" s="47"/>
      <c r="O127" s="50"/>
      <c r="P127" s="50"/>
      <c r="Q127" s="50"/>
      <c r="R127" s="50"/>
      <c r="S127" s="50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 t="s">
        <v>197</v>
      </c>
      <c r="AG127" s="51" t="s">
        <v>198</v>
      </c>
      <c r="AH127" s="51"/>
      <c r="AI127" s="51">
        <f>0+0</f>
        <v>0</v>
      </c>
    </row>
    <row r="128" spans="1:35" ht="127.5" x14ac:dyDescent="0.2">
      <c r="A128" s="44">
        <v>84</v>
      </c>
      <c r="B128" s="45" t="s">
        <v>432</v>
      </c>
      <c r="C128" s="46" t="str">
        <f t="shared" ca="1" si="3"/>
        <v xml:space="preserve">Покрытие изоляции плоских (криволинейных) поверхностей листовым металлом с заготовкой покрытия
100 м2 поверхности покрытия изоляции
17835 руб. НР 77%=100%*(0,85*0,9) от ФОТ (23162 руб.)
11118 руб.СП 48%=70%*(0,8*0,85) от ФОТ (23162 руб.)
</v>
      </c>
      <c r="D128" s="44">
        <v>0.96740000000000004</v>
      </c>
      <c r="E128" s="47" t="s">
        <v>433</v>
      </c>
      <c r="F128" s="47">
        <v>578.44000000000005</v>
      </c>
      <c r="G128" s="47">
        <v>8515.41</v>
      </c>
      <c r="H128" s="48" t="s">
        <v>434</v>
      </c>
      <c r="I128" s="49">
        <v>59243</v>
      </c>
      <c r="J128" s="47">
        <v>23162</v>
      </c>
      <c r="K128" s="47">
        <v>5600</v>
      </c>
      <c r="L128" s="47" t="str">
        <f>IF(0.9674*8515.41=0," ",TEXT(,ROUND((0.9674*8515.41*3.7),2)))</f>
        <v>30479.89</v>
      </c>
      <c r="M128" s="47">
        <v>139.55000000000001</v>
      </c>
      <c r="N128" s="47">
        <v>135</v>
      </c>
      <c r="O128" s="50"/>
      <c r="P128" s="50"/>
      <c r="Q128" s="50"/>
      <c r="R128" s="50"/>
      <c r="S128" s="50"/>
      <c r="T128" s="51"/>
      <c r="U128" s="51"/>
      <c r="V128" s="51"/>
      <c r="W128" s="51"/>
      <c r="X128" s="51"/>
      <c r="Y128" s="51"/>
      <c r="Z128" s="51"/>
      <c r="AA128" s="51" t="s">
        <v>428</v>
      </c>
      <c r="AB128" s="51" t="s">
        <v>34</v>
      </c>
      <c r="AC128" s="51">
        <v>17835</v>
      </c>
      <c r="AD128" s="51">
        <v>11118</v>
      </c>
      <c r="AE128" s="51"/>
      <c r="AF128" s="51" t="s">
        <v>435</v>
      </c>
      <c r="AG128" s="51" t="s">
        <v>436</v>
      </c>
      <c r="AH128" s="51"/>
      <c r="AI128" s="51">
        <f>23162+0</f>
        <v>23162</v>
      </c>
    </row>
    <row r="129" spans="1:35" ht="63.75" x14ac:dyDescent="0.2">
      <c r="A129" s="44">
        <v>85</v>
      </c>
      <c r="B129" s="45" t="s">
        <v>437</v>
      </c>
      <c r="C129" s="46" t="str">
        <f t="shared" ca="1" si="3"/>
        <v xml:space="preserve">Сталь листовая оцинкованная толщиной листа: 0,8 мм
т
</v>
      </c>
      <c r="D129" s="44">
        <v>-0.74390000000000001</v>
      </c>
      <c r="E129" s="47">
        <v>11000</v>
      </c>
      <c r="F129" s="47"/>
      <c r="G129" s="47">
        <v>11000</v>
      </c>
      <c r="H129" s="48" t="s">
        <v>438</v>
      </c>
      <c r="I129" s="49">
        <v>-30383</v>
      </c>
      <c r="J129" s="47"/>
      <c r="K129" s="47"/>
      <c r="L129" s="47" t="str">
        <f>IF(-0.7439*11000=0," ",TEXT(,ROUND((-0.7439*11000*3.713),2)))</f>
        <v>-30383.11</v>
      </c>
      <c r="M129" s="47"/>
      <c r="N129" s="47"/>
      <c r="O129" s="50"/>
      <c r="P129" s="50"/>
      <c r="Q129" s="50"/>
      <c r="R129" s="50"/>
      <c r="S129" s="50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 t="s">
        <v>439</v>
      </c>
      <c r="AG129" s="51" t="s">
        <v>317</v>
      </c>
      <c r="AH129" s="51"/>
      <c r="AI129" s="51">
        <f>0+0</f>
        <v>0</v>
      </c>
    </row>
    <row r="130" spans="1:35" ht="63.75" x14ac:dyDescent="0.2">
      <c r="A130" s="44">
        <v>86</v>
      </c>
      <c r="B130" s="45" t="s">
        <v>318</v>
      </c>
      <c r="C130" s="46" t="str">
        <f t="shared" ca="1" si="3"/>
        <v xml:space="preserve">Сталь листовая оцинкованная толщиной листа: 0,55 мм
т
</v>
      </c>
      <c r="D130" s="44">
        <v>0.51139999999999997</v>
      </c>
      <c r="E130" s="47">
        <v>10484</v>
      </c>
      <c r="F130" s="47"/>
      <c r="G130" s="47">
        <v>10484</v>
      </c>
      <c r="H130" s="48" t="s">
        <v>319</v>
      </c>
      <c r="I130" s="49">
        <v>21014</v>
      </c>
      <c r="J130" s="47"/>
      <c r="K130" s="47"/>
      <c r="L130" s="47" t="str">
        <f>IF(0.5114*10484=0," ",TEXT(,ROUND((0.5114*10484*3.919),2)))</f>
        <v>21011.79</v>
      </c>
      <c r="M130" s="47"/>
      <c r="N130" s="47"/>
      <c r="O130" s="50"/>
      <c r="P130" s="50"/>
      <c r="Q130" s="50"/>
      <c r="R130" s="50"/>
      <c r="S130" s="50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 t="s">
        <v>320</v>
      </c>
      <c r="AG130" s="51" t="s">
        <v>317</v>
      </c>
      <c r="AH130" s="51"/>
      <c r="AI130" s="51">
        <f>0+0</f>
        <v>0</v>
      </c>
    </row>
    <row r="131" spans="1:35" ht="114.75" x14ac:dyDescent="0.2">
      <c r="A131" s="44">
        <v>87</v>
      </c>
      <c r="B131" s="45" t="s">
        <v>440</v>
      </c>
      <c r="C131" s="46" t="str">
        <f t="shared" ca="1" si="3"/>
        <v xml:space="preserve">Установка зонтов над шахтами из листовой стали прямоугольного сечения периметром : 2600 мм
1 зонт
4466 руб. НР 98%=128%*(0,85*0,9) от ФОТ (4557 руб.)
2552 руб.СП 56%=83%*(0,8*0,85) от ФОТ (4557 руб.)
</v>
      </c>
      <c r="D131" s="44">
        <v>12</v>
      </c>
      <c r="E131" s="47" t="s">
        <v>441</v>
      </c>
      <c r="F131" s="47">
        <v>4.38</v>
      </c>
      <c r="G131" s="47">
        <v>6.33</v>
      </c>
      <c r="H131" s="48" t="s">
        <v>442</v>
      </c>
      <c r="I131" s="49">
        <v>5495</v>
      </c>
      <c r="J131" s="47">
        <v>4557</v>
      </c>
      <c r="K131" s="47">
        <v>490</v>
      </c>
      <c r="L131" s="47" t="str">
        <f>IF(12*6.33=0," ",TEXT(,ROUND((12*6.33*5.89),2)))</f>
        <v>447.4</v>
      </c>
      <c r="M131" s="47">
        <v>2.27</v>
      </c>
      <c r="N131" s="47">
        <v>27.24</v>
      </c>
      <c r="O131" s="50"/>
      <c r="P131" s="50"/>
      <c r="Q131" s="50"/>
      <c r="R131" s="50"/>
      <c r="S131" s="50"/>
      <c r="T131" s="51"/>
      <c r="U131" s="51"/>
      <c r="V131" s="51"/>
      <c r="W131" s="51"/>
      <c r="X131" s="51"/>
      <c r="Y131" s="51"/>
      <c r="Z131" s="51"/>
      <c r="AA131" s="51" t="s">
        <v>120</v>
      </c>
      <c r="AB131" s="51" t="s">
        <v>121</v>
      </c>
      <c r="AC131" s="51">
        <v>4466</v>
      </c>
      <c r="AD131" s="51">
        <v>2552</v>
      </c>
      <c r="AE131" s="51"/>
      <c r="AF131" s="51" t="s">
        <v>443</v>
      </c>
      <c r="AG131" s="51" t="s">
        <v>444</v>
      </c>
      <c r="AH131" s="51"/>
      <c r="AI131" s="51">
        <f>4557+0</f>
        <v>4557</v>
      </c>
    </row>
    <row r="132" spans="1:35" ht="76.5" x14ac:dyDescent="0.2">
      <c r="A132" s="54">
        <v>88</v>
      </c>
      <c r="B132" s="55" t="s">
        <v>445</v>
      </c>
      <c r="C132" s="56" t="str">
        <f t="shared" ca="1" si="3"/>
        <v xml:space="preserve">Зонты вентиляционных систем из листовой оцинкованной стали: прямоугольные, периметром шахты 2600 мм
шт.
</v>
      </c>
      <c r="D132" s="54">
        <v>12</v>
      </c>
      <c r="E132" s="57">
        <v>321.3</v>
      </c>
      <c r="F132" s="57"/>
      <c r="G132" s="57">
        <v>321.3</v>
      </c>
      <c r="H132" s="58" t="s">
        <v>446</v>
      </c>
      <c r="I132" s="59">
        <v>19727</v>
      </c>
      <c r="J132" s="57"/>
      <c r="K132" s="57"/>
      <c r="L132" s="57" t="str">
        <f>IF(12*321.3=0," ",TEXT(,ROUND((12*321.3*5.116),2)))</f>
        <v>19725.25</v>
      </c>
      <c r="M132" s="57"/>
      <c r="N132" s="57"/>
      <c r="O132" s="50"/>
      <c r="P132" s="50"/>
      <c r="Q132" s="50"/>
      <c r="R132" s="50"/>
      <c r="S132" s="50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 t="s">
        <v>447</v>
      </c>
      <c r="AG132" s="51" t="s">
        <v>232</v>
      </c>
      <c r="AH132" s="51"/>
      <c r="AI132" s="51">
        <f>0+0</f>
        <v>0</v>
      </c>
    </row>
    <row r="133" spans="1:35" ht="25.5" x14ac:dyDescent="0.2">
      <c r="A133" s="92" t="s">
        <v>133</v>
      </c>
      <c r="B133" s="93"/>
      <c r="C133" s="93"/>
      <c r="D133" s="93"/>
      <c r="E133" s="93"/>
      <c r="F133" s="93"/>
      <c r="G133" s="93"/>
      <c r="H133" s="93"/>
      <c r="I133" s="49">
        <v>19487</v>
      </c>
      <c r="J133" s="47">
        <v>1914</v>
      </c>
      <c r="K133" s="47" t="s">
        <v>448</v>
      </c>
      <c r="L133" s="47">
        <v>16817</v>
      </c>
      <c r="M133" s="47"/>
      <c r="N133" s="47" t="s">
        <v>449</v>
      </c>
      <c r="O133" s="18"/>
      <c r="P133" s="19"/>
      <c r="Q133" s="18"/>
      <c r="R133" s="18"/>
      <c r="S133" s="18"/>
    </row>
    <row r="134" spans="1:35" ht="25.5" x14ac:dyDescent="0.2">
      <c r="A134" s="92" t="s">
        <v>235</v>
      </c>
      <c r="B134" s="93"/>
      <c r="C134" s="93"/>
      <c r="D134" s="93"/>
      <c r="E134" s="93"/>
      <c r="F134" s="93"/>
      <c r="G134" s="93"/>
      <c r="H134" s="93"/>
      <c r="I134" s="49">
        <v>19964</v>
      </c>
      <c r="J134" s="47">
        <v>2202</v>
      </c>
      <c r="K134" s="47" t="s">
        <v>450</v>
      </c>
      <c r="L134" s="47">
        <v>16817</v>
      </c>
      <c r="M134" s="47"/>
      <c r="N134" s="47" t="s">
        <v>451</v>
      </c>
      <c r="O134" s="18"/>
      <c r="P134" s="19"/>
      <c r="Q134" s="18"/>
      <c r="R134" s="18"/>
      <c r="S134" s="18"/>
    </row>
    <row r="135" spans="1:35" x14ac:dyDescent="0.2">
      <c r="A135" s="92" t="s">
        <v>238</v>
      </c>
      <c r="B135" s="93"/>
      <c r="C135" s="93"/>
      <c r="D135" s="93"/>
      <c r="E135" s="93"/>
      <c r="F135" s="93"/>
      <c r="G135" s="93"/>
      <c r="H135" s="93"/>
      <c r="I135" s="49"/>
      <c r="J135" s="47"/>
      <c r="K135" s="47"/>
      <c r="L135" s="47"/>
      <c r="M135" s="47"/>
      <c r="N135" s="47"/>
      <c r="O135" s="18"/>
      <c r="P135" s="19"/>
      <c r="Q135" s="18"/>
      <c r="R135" s="18"/>
      <c r="S135" s="18"/>
    </row>
    <row r="136" spans="1:35" ht="27.95" customHeight="1" x14ac:dyDescent="0.2">
      <c r="A136" s="92" t="s">
        <v>452</v>
      </c>
      <c r="B136" s="93"/>
      <c r="C136" s="93"/>
      <c r="D136" s="93"/>
      <c r="E136" s="93"/>
      <c r="F136" s="93"/>
      <c r="G136" s="93"/>
      <c r="H136" s="93"/>
      <c r="I136" s="49">
        <v>477</v>
      </c>
      <c r="J136" s="47">
        <v>287</v>
      </c>
      <c r="K136" s="47" t="s">
        <v>453</v>
      </c>
      <c r="L136" s="47"/>
      <c r="M136" s="47"/>
      <c r="N136" s="47" t="s">
        <v>454</v>
      </c>
      <c r="O136" s="18"/>
      <c r="P136" s="19"/>
      <c r="Q136" s="18"/>
      <c r="R136" s="18"/>
      <c r="S136" s="18"/>
    </row>
    <row r="137" spans="1:35" ht="25.5" x14ac:dyDescent="0.2">
      <c r="A137" s="92" t="s">
        <v>136</v>
      </c>
      <c r="B137" s="93"/>
      <c r="C137" s="93"/>
      <c r="D137" s="93"/>
      <c r="E137" s="93"/>
      <c r="F137" s="93"/>
      <c r="G137" s="93"/>
      <c r="H137" s="93"/>
      <c r="I137" s="49">
        <v>121028</v>
      </c>
      <c r="J137" s="47">
        <v>36224</v>
      </c>
      <c r="K137" s="47" t="s">
        <v>455</v>
      </c>
      <c r="L137" s="47">
        <v>76602</v>
      </c>
      <c r="M137" s="47"/>
      <c r="N137" s="47" t="s">
        <v>451</v>
      </c>
      <c r="O137" s="18"/>
      <c r="P137" s="19"/>
      <c r="Q137" s="18"/>
      <c r="R137" s="18"/>
      <c r="S137" s="18"/>
    </row>
    <row r="138" spans="1:35" x14ac:dyDescent="0.2">
      <c r="A138" s="92" t="s">
        <v>138</v>
      </c>
      <c r="B138" s="93"/>
      <c r="C138" s="93"/>
      <c r="D138" s="93"/>
      <c r="E138" s="93"/>
      <c r="F138" s="93"/>
      <c r="G138" s="93"/>
      <c r="H138" s="93"/>
      <c r="I138" s="49">
        <v>30159</v>
      </c>
      <c r="J138" s="47"/>
      <c r="K138" s="47"/>
      <c r="L138" s="47"/>
      <c r="M138" s="47"/>
      <c r="N138" s="47"/>
      <c r="O138" s="18"/>
      <c r="P138" s="19"/>
      <c r="Q138" s="18"/>
      <c r="R138" s="18"/>
      <c r="S138" s="18"/>
    </row>
    <row r="139" spans="1:35" x14ac:dyDescent="0.2">
      <c r="A139" s="92" t="s">
        <v>139</v>
      </c>
      <c r="B139" s="93"/>
      <c r="C139" s="93"/>
      <c r="D139" s="93"/>
      <c r="E139" s="93"/>
      <c r="F139" s="93"/>
      <c r="G139" s="93"/>
      <c r="H139" s="93"/>
      <c r="I139" s="49">
        <v>18089</v>
      </c>
      <c r="J139" s="47"/>
      <c r="K139" s="47"/>
      <c r="L139" s="47"/>
      <c r="M139" s="47"/>
      <c r="N139" s="47"/>
      <c r="O139" s="18"/>
      <c r="P139" s="19"/>
      <c r="Q139" s="18"/>
      <c r="R139" s="18"/>
      <c r="S139" s="18"/>
    </row>
    <row r="140" spans="1:35" ht="25.5" x14ac:dyDescent="0.2">
      <c r="A140" s="73" t="s">
        <v>456</v>
      </c>
      <c r="B140" s="74"/>
      <c r="C140" s="74"/>
      <c r="D140" s="74"/>
      <c r="E140" s="74"/>
      <c r="F140" s="74"/>
      <c r="G140" s="74"/>
      <c r="H140" s="74"/>
      <c r="I140" s="59">
        <v>169276</v>
      </c>
      <c r="J140" s="57"/>
      <c r="K140" s="57"/>
      <c r="L140" s="57"/>
      <c r="M140" s="57"/>
      <c r="N140" s="57" t="s">
        <v>451</v>
      </c>
      <c r="O140" s="18"/>
      <c r="P140" s="19"/>
      <c r="Q140" s="18"/>
      <c r="R140" s="18"/>
      <c r="S140" s="18"/>
    </row>
    <row r="141" spans="1:35" ht="21" customHeight="1" x14ac:dyDescent="0.2">
      <c r="A141" s="90" t="s">
        <v>457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</row>
    <row r="142" spans="1:35" ht="127.5" x14ac:dyDescent="0.2">
      <c r="A142" s="44">
        <v>89</v>
      </c>
      <c r="B142" s="45" t="s">
        <v>458</v>
      </c>
      <c r="C142" s="46" t="str">
        <f t="shared" ref="C142:C152" ca="1" si="4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Прокладка трубопроводов канализации из полиэтиленовых труб высокой плотности диаметром: 110 мм
100 м трубопровода
5788 руб. НР 98%=128%*(0,85*0,9) от ФОТ (5906 руб.)
3307 руб.СП 56%=83%*(0,8*0,85) от ФОТ (5906 руб.)
</v>
      </c>
      <c r="D142" s="44" t="s">
        <v>459</v>
      </c>
      <c r="E142" s="47" t="s">
        <v>460</v>
      </c>
      <c r="F142" s="47" t="s">
        <v>461</v>
      </c>
      <c r="G142" s="47">
        <v>7166.84</v>
      </c>
      <c r="H142" s="48" t="s">
        <v>118</v>
      </c>
      <c r="I142" s="49">
        <v>17429</v>
      </c>
      <c r="J142" s="47">
        <v>5906</v>
      </c>
      <c r="K142" s="47">
        <v>46</v>
      </c>
      <c r="L142" s="47" t="str">
        <f>IF(0.51*7166.84=0," ",TEXT(,ROUND((0.51*7166.84*3.14),2)))</f>
        <v>11476.98</v>
      </c>
      <c r="M142" s="47" t="s">
        <v>462</v>
      </c>
      <c r="N142" s="47" t="s">
        <v>463</v>
      </c>
      <c r="O142" s="50"/>
      <c r="P142" s="50"/>
      <c r="Q142" s="50"/>
      <c r="R142" s="50"/>
      <c r="S142" s="50"/>
      <c r="T142" s="51"/>
      <c r="U142" s="51"/>
      <c r="V142" s="51"/>
      <c r="W142" s="51"/>
      <c r="X142" s="51"/>
      <c r="Y142" s="51"/>
      <c r="Z142" s="51"/>
      <c r="AA142" s="51" t="s">
        <v>120</v>
      </c>
      <c r="AB142" s="51" t="s">
        <v>121</v>
      </c>
      <c r="AC142" s="51">
        <v>5788</v>
      </c>
      <c r="AD142" s="51">
        <v>3307</v>
      </c>
      <c r="AE142" s="51"/>
      <c r="AF142" s="51" t="s">
        <v>464</v>
      </c>
      <c r="AG142" s="51" t="s">
        <v>124</v>
      </c>
      <c r="AH142" s="51"/>
      <c r="AI142" s="51">
        <f>5906+0</f>
        <v>5906</v>
      </c>
    </row>
    <row r="143" spans="1:35" ht="114.75" x14ac:dyDescent="0.2">
      <c r="A143" s="44">
        <v>90</v>
      </c>
      <c r="B143" s="45" t="s">
        <v>465</v>
      </c>
      <c r="C143" s="46" t="str">
        <f t="shared" ca="1" si="4"/>
        <v xml:space="preserve">Установка пароизоляционного слоя из: пленки полиэтиленовой (без стекловолокнистых материалов)
100 м2 поверхности покрытия изоляции
304 руб. НР 77%=100%*(0,85*0,9) от ФОТ (395 руб.)
190 руб.СП 48%=70%*(0,8*0,85) от ФОТ (395 руб.)
</v>
      </c>
      <c r="D143" s="44" t="s">
        <v>466</v>
      </c>
      <c r="E143" s="47" t="s">
        <v>467</v>
      </c>
      <c r="F143" s="47">
        <v>21.79</v>
      </c>
      <c r="G143" s="47">
        <v>1385.68</v>
      </c>
      <c r="H143" s="48" t="s">
        <v>468</v>
      </c>
      <c r="I143" s="49">
        <v>893</v>
      </c>
      <c r="J143" s="47">
        <v>395</v>
      </c>
      <c r="K143" s="47">
        <v>57</v>
      </c>
      <c r="L143" s="47" t="str">
        <f>IF(0.16596*1385.68=0," ",TEXT(,ROUND((0.16596*1385.68*1.92),2)))</f>
        <v>441.54</v>
      </c>
      <c r="M143" s="47">
        <v>14.36</v>
      </c>
      <c r="N143" s="47">
        <v>2.38</v>
      </c>
      <c r="O143" s="50"/>
      <c r="P143" s="50"/>
      <c r="Q143" s="50"/>
      <c r="R143" s="50"/>
      <c r="S143" s="50"/>
      <c r="T143" s="51"/>
      <c r="U143" s="51"/>
      <c r="V143" s="51"/>
      <c r="W143" s="51"/>
      <c r="X143" s="51"/>
      <c r="Y143" s="51"/>
      <c r="Z143" s="51"/>
      <c r="AA143" s="51" t="s">
        <v>428</v>
      </c>
      <c r="AB143" s="51" t="s">
        <v>34</v>
      </c>
      <c r="AC143" s="51">
        <v>304</v>
      </c>
      <c r="AD143" s="51">
        <v>190</v>
      </c>
      <c r="AE143" s="51"/>
      <c r="AF143" s="51" t="s">
        <v>469</v>
      </c>
      <c r="AG143" s="51" t="s">
        <v>436</v>
      </c>
      <c r="AH143" s="51"/>
      <c r="AI143" s="51">
        <f>395+0</f>
        <v>395</v>
      </c>
    </row>
    <row r="144" spans="1:35" ht="63.75" x14ac:dyDescent="0.2">
      <c r="A144" s="44">
        <v>91</v>
      </c>
      <c r="B144" s="45" t="s">
        <v>470</v>
      </c>
      <c r="C144" s="46" t="str">
        <f t="shared" ca="1" si="4"/>
        <v xml:space="preserve">Пленка полиэтиленовая толщиной: 0,2-0,5 мм, изоловая
м2
</v>
      </c>
      <c r="D144" s="44" t="s">
        <v>471</v>
      </c>
      <c r="E144" s="47">
        <v>4.82</v>
      </c>
      <c r="F144" s="47"/>
      <c r="G144" s="47">
        <v>4.82</v>
      </c>
      <c r="H144" s="48" t="s">
        <v>472</v>
      </c>
      <c r="I144" s="49">
        <v>-112</v>
      </c>
      <c r="J144" s="47"/>
      <c r="K144" s="47"/>
      <c r="L144" s="47" t="str">
        <f>IF(-19.0896*4.82=0," ",TEXT(,ROUND((-19.0896*4.82*1.221),2)))</f>
        <v>-112.35</v>
      </c>
      <c r="M144" s="47"/>
      <c r="N144" s="47"/>
      <c r="O144" s="50"/>
      <c r="P144" s="50"/>
      <c r="Q144" s="50"/>
      <c r="R144" s="50"/>
      <c r="S144" s="50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 t="s">
        <v>473</v>
      </c>
      <c r="AG144" s="51" t="s">
        <v>160</v>
      </c>
      <c r="AH144" s="51"/>
      <c r="AI144" s="51">
        <f>0+0</f>
        <v>0</v>
      </c>
    </row>
    <row r="145" spans="1:35" ht="63.75" x14ac:dyDescent="0.2">
      <c r="A145" s="44">
        <v>92</v>
      </c>
      <c r="B145" s="45" t="s">
        <v>161</v>
      </c>
      <c r="C145" s="46" t="str">
        <f t="shared" ca="1" si="4"/>
        <v xml:space="preserve">Изоспан: Двухслойная паропроницаемая мембрана марки В 13,60/5,58=2,44
м2
</v>
      </c>
      <c r="D145" s="44" t="s">
        <v>474</v>
      </c>
      <c r="E145" s="47">
        <v>2.44</v>
      </c>
      <c r="F145" s="47"/>
      <c r="G145" s="47">
        <v>2.44</v>
      </c>
      <c r="H145" s="48" t="s">
        <v>162</v>
      </c>
      <c r="I145" s="49">
        <v>262</v>
      </c>
      <c r="J145" s="47"/>
      <c r="K145" s="47"/>
      <c r="L145" s="47" t="str">
        <f>IF(19.0896*2.44=0," ",TEXT(,ROUND((19.0896*2.44*5.58),2)))</f>
        <v>259.91</v>
      </c>
      <c r="M145" s="47"/>
      <c r="N145" s="47"/>
      <c r="O145" s="50"/>
      <c r="P145" s="50"/>
      <c r="Q145" s="50"/>
      <c r="R145" s="50"/>
      <c r="S145" s="50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 t="s">
        <v>163</v>
      </c>
      <c r="AG145" s="51" t="s">
        <v>160</v>
      </c>
      <c r="AH145" s="51"/>
      <c r="AI145" s="51">
        <f>0+0</f>
        <v>0</v>
      </c>
    </row>
    <row r="146" spans="1:35" ht="140.25" x14ac:dyDescent="0.2">
      <c r="A146" s="44">
        <v>93</v>
      </c>
      <c r="B146" s="45" t="s">
        <v>475</v>
      </c>
      <c r="C146" s="46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КОЭФ. К ПОЗИЦИИ:
материалы МАТ=0 к расх.
1330 руб. НР 77%=100%*(0,85*0,9) от ФОТ (1727 руб.)
829 руб.СП 48%=70%*(0,8*0,85) от ФОТ (1727 руб.)
</v>
      </c>
      <c r="D146" s="44">
        <v>0.33100000000000002</v>
      </c>
      <c r="E146" s="47" t="s">
        <v>476</v>
      </c>
      <c r="F146" s="47">
        <v>50.59</v>
      </c>
      <c r="G146" s="47"/>
      <c r="H146" s="48" t="s">
        <v>477</v>
      </c>
      <c r="I146" s="49">
        <v>1945</v>
      </c>
      <c r="J146" s="47">
        <v>1727</v>
      </c>
      <c r="K146" s="47">
        <v>218</v>
      </c>
      <c r="L146" s="47" t="str">
        <f>IF(0.331*0=0," ",TEXT(,ROUND((0.331*0*9.73),2)))</f>
        <v xml:space="preserve"> </v>
      </c>
      <c r="M146" s="47">
        <v>31.98</v>
      </c>
      <c r="N146" s="47">
        <v>10.59</v>
      </c>
      <c r="O146" s="50"/>
      <c r="P146" s="50"/>
      <c r="Q146" s="50"/>
      <c r="R146" s="50"/>
      <c r="S146" s="50"/>
      <c r="T146" s="51"/>
      <c r="U146" s="51"/>
      <c r="V146" s="51"/>
      <c r="W146" s="51"/>
      <c r="X146" s="51"/>
      <c r="Y146" s="51"/>
      <c r="Z146" s="51"/>
      <c r="AA146" s="51" t="s">
        <v>428</v>
      </c>
      <c r="AB146" s="51" t="s">
        <v>34</v>
      </c>
      <c r="AC146" s="51">
        <v>1330</v>
      </c>
      <c r="AD146" s="51">
        <v>829</v>
      </c>
      <c r="AE146" s="53" t="s">
        <v>171</v>
      </c>
      <c r="AF146" s="51" t="s">
        <v>478</v>
      </c>
      <c r="AG146" s="51" t="s">
        <v>436</v>
      </c>
      <c r="AH146" s="51"/>
      <c r="AI146" s="51">
        <f>1727+0</f>
        <v>1727</v>
      </c>
    </row>
    <row r="147" spans="1:35" ht="63.75" x14ac:dyDescent="0.2">
      <c r="A147" s="44">
        <v>94</v>
      </c>
      <c r="B147" s="45" t="s">
        <v>479</v>
      </c>
      <c r="C147" s="46" t="str">
        <f t="shared" ca="1" si="4"/>
        <v xml:space="preserve">Утеплитель URSA: М 15, толщиной 50 мм 64,28/5,58=11,52
м2
</v>
      </c>
      <c r="D147" s="44">
        <v>68.186000000000007</v>
      </c>
      <c r="E147" s="47">
        <v>11.52</v>
      </c>
      <c r="F147" s="47"/>
      <c r="G147" s="47">
        <v>11.52</v>
      </c>
      <c r="H147" s="48" t="s">
        <v>162</v>
      </c>
      <c r="I147" s="49">
        <v>4386</v>
      </c>
      <c r="J147" s="47"/>
      <c r="K147" s="47"/>
      <c r="L147" s="47" t="str">
        <f>IF(68.186*11.52=0," ",TEXT(,ROUND((68.186*11.52*5.58),2)))</f>
        <v>4383.11</v>
      </c>
      <c r="M147" s="47"/>
      <c r="N147" s="47"/>
      <c r="O147" s="50"/>
      <c r="P147" s="50"/>
      <c r="Q147" s="50"/>
      <c r="R147" s="50"/>
      <c r="S147" s="50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 t="s">
        <v>480</v>
      </c>
      <c r="AG147" s="51" t="s">
        <v>160</v>
      </c>
      <c r="AH147" s="51"/>
      <c r="AI147" s="51">
        <f>0+0</f>
        <v>0</v>
      </c>
    </row>
    <row r="148" spans="1:35" ht="165.75" x14ac:dyDescent="0.2">
      <c r="A148" s="44">
        <v>95</v>
      </c>
      <c r="B148" s="45" t="s">
        <v>481</v>
      </c>
      <c r="C148" s="46" t="str">
        <f t="shared" ca="1" si="4"/>
        <v xml:space="preserve">Обертывание поверхности изоляции рулонными материалами насухо с проклейкой швов
100 м2 поверхности покрытия изоляции
КОЭФ. К ПОЗИЦИИ:
В 2 слоя ПЗ=2 (ОЗП=2; ЭМ=2 к расх.; ЗПМ=2; МАТ=2 к расх.; ТЗ=2; ТЗМ=2);
материалы МАТ=0 к расх.
2660 руб. НР 77%=100%*(0,85*0,9) от ФОТ (3455 руб.)
1658 руб.СП 48%=70%*(0,8*0,85) от ФОТ (3455 руб.)
</v>
      </c>
      <c r="D148" s="44">
        <v>0.33160000000000001</v>
      </c>
      <c r="E148" s="47" t="s">
        <v>482</v>
      </c>
      <c r="F148" s="47">
        <v>101.18</v>
      </c>
      <c r="G148" s="47"/>
      <c r="H148" s="48" t="s">
        <v>477</v>
      </c>
      <c r="I148" s="49">
        <v>3902</v>
      </c>
      <c r="J148" s="47">
        <v>3455</v>
      </c>
      <c r="K148" s="47">
        <v>447</v>
      </c>
      <c r="L148" s="47" t="str">
        <f>IF(0.3316*0=0," ",TEXT(,ROUND((0.3316*0*9.73),2)))</f>
        <v xml:space="preserve"> </v>
      </c>
      <c r="M148" s="47">
        <v>63.96</v>
      </c>
      <c r="N148" s="47">
        <v>21.21</v>
      </c>
      <c r="O148" s="50"/>
      <c r="P148" s="50"/>
      <c r="Q148" s="50"/>
      <c r="R148" s="50"/>
      <c r="S148" s="50"/>
      <c r="T148" s="51"/>
      <c r="U148" s="51"/>
      <c r="V148" s="51"/>
      <c r="W148" s="51"/>
      <c r="X148" s="51"/>
      <c r="Y148" s="51"/>
      <c r="Z148" s="51"/>
      <c r="AA148" s="51" t="s">
        <v>428</v>
      </c>
      <c r="AB148" s="51" t="s">
        <v>34</v>
      </c>
      <c r="AC148" s="51">
        <v>2660</v>
      </c>
      <c r="AD148" s="51">
        <v>1658</v>
      </c>
      <c r="AE148" s="53" t="s">
        <v>194</v>
      </c>
      <c r="AF148" s="51" t="s">
        <v>478</v>
      </c>
      <c r="AG148" s="51" t="s">
        <v>436</v>
      </c>
      <c r="AH148" s="51"/>
      <c r="AI148" s="51">
        <f>3455+0</f>
        <v>3455</v>
      </c>
    </row>
    <row r="149" spans="1:35" ht="51" x14ac:dyDescent="0.2">
      <c r="A149" s="44">
        <v>96</v>
      </c>
      <c r="B149" s="45" t="s">
        <v>483</v>
      </c>
      <c r="C149" s="46" t="str">
        <f t="shared" ca="1" si="4"/>
        <v xml:space="preserve">Холсты стекловолокнистые марки: ВВ-Т
10 м2
</v>
      </c>
      <c r="D149" s="44">
        <v>7.2952000000000004</v>
      </c>
      <c r="E149" s="47">
        <v>20.2</v>
      </c>
      <c r="F149" s="47"/>
      <c r="G149" s="47">
        <v>20.2</v>
      </c>
      <c r="H149" s="48" t="s">
        <v>484</v>
      </c>
      <c r="I149" s="49">
        <v>1261</v>
      </c>
      <c r="J149" s="47"/>
      <c r="K149" s="47"/>
      <c r="L149" s="47" t="str">
        <f>IF(7.2952*20.2=0," ",TEXT(,ROUND((7.2952*20.2*8.578),2)))</f>
        <v>1264.08</v>
      </c>
      <c r="M149" s="47"/>
      <c r="N149" s="47"/>
      <c r="O149" s="50"/>
      <c r="P149" s="50"/>
      <c r="Q149" s="50"/>
      <c r="R149" s="50"/>
      <c r="S149" s="50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 t="s">
        <v>485</v>
      </c>
      <c r="AG149" s="51" t="s">
        <v>486</v>
      </c>
      <c r="AH149" s="51"/>
      <c r="AI149" s="51">
        <f>0+0</f>
        <v>0</v>
      </c>
    </row>
    <row r="150" spans="1:35" ht="127.5" x14ac:dyDescent="0.2">
      <c r="A150" s="44">
        <v>97</v>
      </c>
      <c r="B150" s="45" t="s">
        <v>432</v>
      </c>
      <c r="C150" s="46" t="str">
        <f t="shared" ca="1" si="4"/>
        <v xml:space="preserve">Покрытие изоляции плоских (криволинейных) поверхностей листовым металлом с заготовкой покрытия
100 м2 поверхности покрытия изоляции
5928 руб. НР 77%=100%*(0,85*0,9) от ФОТ (7699 руб.)
3696 руб.СП 48%=70%*(0,8*0,85) от ФОТ (7699 руб.)
</v>
      </c>
      <c r="D150" s="44" t="s">
        <v>487</v>
      </c>
      <c r="E150" s="47" t="s">
        <v>433</v>
      </c>
      <c r="F150" s="47">
        <v>578.44000000000005</v>
      </c>
      <c r="G150" s="47">
        <v>8515.41</v>
      </c>
      <c r="H150" s="48" t="s">
        <v>434</v>
      </c>
      <c r="I150" s="49">
        <v>19697</v>
      </c>
      <c r="J150" s="47">
        <v>7699</v>
      </c>
      <c r="K150" s="47">
        <v>1864</v>
      </c>
      <c r="L150" s="47" t="str">
        <f>IF(0.3216*8515.41=0," ",TEXT(,ROUND((0.3216*8515.41*3.7),2)))</f>
        <v>10132.66</v>
      </c>
      <c r="M150" s="47">
        <v>139.55000000000001</v>
      </c>
      <c r="N150" s="47">
        <v>44.88</v>
      </c>
      <c r="O150" s="50"/>
      <c r="P150" s="50"/>
      <c r="Q150" s="50"/>
      <c r="R150" s="50"/>
      <c r="S150" s="50"/>
      <c r="T150" s="51"/>
      <c r="U150" s="51"/>
      <c r="V150" s="51"/>
      <c r="W150" s="51"/>
      <c r="X150" s="51"/>
      <c r="Y150" s="51"/>
      <c r="Z150" s="51"/>
      <c r="AA150" s="51" t="s">
        <v>428</v>
      </c>
      <c r="AB150" s="51" t="s">
        <v>34</v>
      </c>
      <c r="AC150" s="51">
        <v>5928</v>
      </c>
      <c r="AD150" s="51">
        <v>3696</v>
      </c>
      <c r="AE150" s="51"/>
      <c r="AF150" s="51" t="s">
        <v>435</v>
      </c>
      <c r="AG150" s="51" t="s">
        <v>436</v>
      </c>
      <c r="AH150" s="51"/>
      <c r="AI150" s="51">
        <f>7699+0</f>
        <v>7699</v>
      </c>
    </row>
    <row r="151" spans="1:35" ht="63.75" x14ac:dyDescent="0.2">
      <c r="A151" s="44">
        <v>98</v>
      </c>
      <c r="B151" s="45" t="s">
        <v>437</v>
      </c>
      <c r="C151" s="46" t="str">
        <f t="shared" ca="1" si="4"/>
        <v xml:space="preserve">Сталь листовая оцинкованная толщиной листа: 0,8 мм
т
</v>
      </c>
      <c r="D151" s="44">
        <v>-0.24729999999999999</v>
      </c>
      <c r="E151" s="47">
        <v>11000</v>
      </c>
      <c r="F151" s="47"/>
      <c r="G151" s="47">
        <v>11000</v>
      </c>
      <c r="H151" s="48" t="s">
        <v>438</v>
      </c>
      <c r="I151" s="49">
        <v>-10099</v>
      </c>
      <c r="J151" s="47"/>
      <c r="K151" s="47"/>
      <c r="L151" s="47" t="str">
        <f>IF(-0.2473*11000=0," ",TEXT(,ROUND((-0.2473*11000*3.713),2)))</f>
        <v>-10100.47</v>
      </c>
      <c r="M151" s="47"/>
      <c r="N151" s="47"/>
      <c r="O151" s="50"/>
      <c r="P151" s="50"/>
      <c r="Q151" s="50"/>
      <c r="R151" s="50"/>
      <c r="S151" s="50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 t="s">
        <v>439</v>
      </c>
      <c r="AG151" s="51" t="s">
        <v>317</v>
      </c>
      <c r="AH151" s="51"/>
      <c r="AI151" s="51">
        <f>0+0</f>
        <v>0</v>
      </c>
    </row>
    <row r="152" spans="1:35" ht="63.75" x14ac:dyDescent="0.2">
      <c r="A152" s="54">
        <v>99</v>
      </c>
      <c r="B152" s="55" t="s">
        <v>318</v>
      </c>
      <c r="C152" s="56" t="str">
        <f t="shared" ca="1" si="4"/>
        <v xml:space="preserve">Сталь листовая оцинкованная толщиной листа: 0,55 мм
т
</v>
      </c>
      <c r="D152" s="54">
        <v>0.17</v>
      </c>
      <c r="E152" s="57">
        <v>10484</v>
      </c>
      <c r="F152" s="57"/>
      <c r="G152" s="57">
        <v>10484</v>
      </c>
      <c r="H152" s="58" t="s">
        <v>319</v>
      </c>
      <c r="I152" s="59">
        <v>6984</v>
      </c>
      <c r="J152" s="57"/>
      <c r="K152" s="57"/>
      <c r="L152" s="57" t="str">
        <f>IF(0.17*10484=0," ",TEXT(,ROUND((0.17*10484*3.919),2)))</f>
        <v>6984.76</v>
      </c>
      <c r="M152" s="57"/>
      <c r="N152" s="57"/>
      <c r="O152" s="50"/>
      <c r="P152" s="50"/>
      <c r="Q152" s="50"/>
      <c r="R152" s="50"/>
      <c r="S152" s="50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 t="s">
        <v>320</v>
      </c>
      <c r="AG152" s="51" t="s">
        <v>317</v>
      </c>
      <c r="AH152" s="51"/>
      <c r="AI152" s="51">
        <f>0+0</f>
        <v>0</v>
      </c>
    </row>
    <row r="153" spans="1:35" ht="25.5" x14ac:dyDescent="0.2">
      <c r="A153" s="92" t="s">
        <v>133</v>
      </c>
      <c r="B153" s="93"/>
      <c r="C153" s="93"/>
      <c r="D153" s="93"/>
      <c r="E153" s="93"/>
      <c r="F153" s="93"/>
      <c r="G153" s="93"/>
      <c r="H153" s="93"/>
      <c r="I153" s="49">
        <v>7831</v>
      </c>
      <c r="J153" s="47">
        <v>1014</v>
      </c>
      <c r="K153" s="47">
        <v>244</v>
      </c>
      <c r="L153" s="47">
        <v>6574</v>
      </c>
      <c r="M153" s="47"/>
      <c r="N153" s="47" t="s">
        <v>488</v>
      </c>
      <c r="O153" s="18"/>
      <c r="P153" s="19"/>
      <c r="Q153" s="18"/>
      <c r="R153" s="18"/>
      <c r="S153" s="18"/>
    </row>
    <row r="154" spans="1:35" ht="25.5" x14ac:dyDescent="0.2">
      <c r="A154" s="92" t="s">
        <v>235</v>
      </c>
      <c r="B154" s="93"/>
      <c r="C154" s="93"/>
      <c r="D154" s="93"/>
      <c r="E154" s="93"/>
      <c r="F154" s="93"/>
      <c r="G154" s="93"/>
      <c r="H154" s="93"/>
      <c r="I154" s="49">
        <v>8045</v>
      </c>
      <c r="J154" s="47">
        <v>1166</v>
      </c>
      <c r="K154" s="47">
        <v>306</v>
      </c>
      <c r="L154" s="47">
        <v>6574</v>
      </c>
      <c r="M154" s="47"/>
      <c r="N154" s="47" t="s">
        <v>489</v>
      </c>
      <c r="O154" s="18"/>
      <c r="P154" s="19"/>
      <c r="Q154" s="18"/>
      <c r="R154" s="18"/>
      <c r="S154" s="18"/>
    </row>
    <row r="155" spans="1:35" x14ac:dyDescent="0.2">
      <c r="A155" s="92" t="s">
        <v>238</v>
      </c>
      <c r="B155" s="93"/>
      <c r="C155" s="93"/>
      <c r="D155" s="93"/>
      <c r="E155" s="93"/>
      <c r="F155" s="93"/>
      <c r="G155" s="93"/>
      <c r="H155" s="93"/>
      <c r="I155" s="49"/>
      <c r="J155" s="47"/>
      <c r="K155" s="47"/>
      <c r="L155" s="47"/>
      <c r="M155" s="47"/>
      <c r="N155" s="47"/>
      <c r="O155" s="18"/>
      <c r="P155" s="19"/>
      <c r="Q155" s="18"/>
      <c r="R155" s="18"/>
      <c r="S155" s="18"/>
    </row>
    <row r="156" spans="1:35" ht="27.95" customHeight="1" x14ac:dyDescent="0.2">
      <c r="A156" s="92" t="s">
        <v>490</v>
      </c>
      <c r="B156" s="93"/>
      <c r="C156" s="93"/>
      <c r="D156" s="93"/>
      <c r="E156" s="93"/>
      <c r="F156" s="93"/>
      <c r="G156" s="93"/>
      <c r="H156" s="93"/>
      <c r="I156" s="49">
        <v>214</v>
      </c>
      <c r="J156" s="47">
        <v>152</v>
      </c>
      <c r="K156" s="47">
        <v>61</v>
      </c>
      <c r="L156" s="47"/>
      <c r="M156" s="47"/>
      <c r="N156" s="47" t="s">
        <v>491</v>
      </c>
      <c r="O156" s="18"/>
      <c r="P156" s="19"/>
      <c r="Q156" s="18"/>
      <c r="R156" s="18"/>
      <c r="S156" s="18"/>
    </row>
    <row r="157" spans="1:35" ht="25.5" x14ac:dyDescent="0.2">
      <c r="A157" s="92" t="s">
        <v>136</v>
      </c>
      <c r="B157" s="93"/>
      <c r="C157" s="93"/>
      <c r="D157" s="93"/>
      <c r="E157" s="93"/>
      <c r="F157" s="93"/>
      <c r="G157" s="93"/>
      <c r="H157" s="93"/>
      <c r="I157" s="49">
        <v>46549</v>
      </c>
      <c r="J157" s="47">
        <v>19182</v>
      </c>
      <c r="K157" s="47">
        <v>2633</v>
      </c>
      <c r="L157" s="47">
        <v>24735</v>
      </c>
      <c r="M157" s="47"/>
      <c r="N157" s="47" t="s">
        <v>489</v>
      </c>
      <c r="O157" s="18"/>
      <c r="P157" s="19"/>
      <c r="Q157" s="18"/>
      <c r="R157" s="18"/>
      <c r="S157" s="18"/>
    </row>
    <row r="158" spans="1:35" x14ac:dyDescent="0.2">
      <c r="A158" s="92" t="s">
        <v>138</v>
      </c>
      <c r="B158" s="93"/>
      <c r="C158" s="93"/>
      <c r="D158" s="93"/>
      <c r="E158" s="93"/>
      <c r="F158" s="93"/>
      <c r="G158" s="93"/>
      <c r="H158" s="93"/>
      <c r="I158" s="49">
        <v>16011</v>
      </c>
      <c r="J158" s="47"/>
      <c r="K158" s="47"/>
      <c r="L158" s="47"/>
      <c r="M158" s="47"/>
      <c r="N158" s="47"/>
      <c r="O158" s="18"/>
      <c r="P158" s="19"/>
      <c r="Q158" s="18"/>
      <c r="R158" s="18"/>
      <c r="S158" s="18"/>
    </row>
    <row r="159" spans="1:35" x14ac:dyDescent="0.2">
      <c r="A159" s="92" t="s">
        <v>139</v>
      </c>
      <c r="B159" s="93"/>
      <c r="C159" s="93"/>
      <c r="D159" s="93"/>
      <c r="E159" s="93"/>
      <c r="F159" s="93"/>
      <c r="G159" s="93"/>
      <c r="H159" s="93"/>
      <c r="I159" s="49">
        <v>9679</v>
      </c>
      <c r="J159" s="47"/>
      <c r="K159" s="47"/>
      <c r="L159" s="47"/>
      <c r="M159" s="47"/>
      <c r="N159" s="47"/>
      <c r="O159" s="18"/>
      <c r="P159" s="19"/>
      <c r="Q159" s="18"/>
      <c r="R159" s="18"/>
      <c r="S159" s="18"/>
    </row>
    <row r="160" spans="1:35" ht="25.5" x14ac:dyDescent="0.2">
      <c r="A160" s="73" t="s">
        <v>492</v>
      </c>
      <c r="B160" s="74"/>
      <c r="C160" s="74"/>
      <c r="D160" s="74"/>
      <c r="E160" s="74"/>
      <c r="F160" s="74"/>
      <c r="G160" s="74"/>
      <c r="H160" s="74"/>
      <c r="I160" s="59">
        <v>72239</v>
      </c>
      <c r="J160" s="57"/>
      <c r="K160" s="57"/>
      <c r="L160" s="57"/>
      <c r="M160" s="57"/>
      <c r="N160" s="57" t="s">
        <v>489</v>
      </c>
      <c r="O160" s="18"/>
      <c r="P160" s="19"/>
      <c r="Q160" s="18"/>
      <c r="R160" s="18"/>
      <c r="S160" s="18"/>
    </row>
    <row r="161" spans="1:35" ht="21" customHeight="1" x14ac:dyDescent="0.2">
      <c r="A161" s="90" t="s">
        <v>493</v>
      </c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</row>
    <row r="162" spans="1:35" ht="76.5" x14ac:dyDescent="0.2">
      <c r="A162" s="44">
        <v>100</v>
      </c>
      <c r="B162" s="45" t="s">
        <v>494</v>
      </c>
      <c r="C162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вручную
1 т груза
</v>
      </c>
      <c r="D162" s="44">
        <v>22.5</v>
      </c>
      <c r="E162" s="47" t="s">
        <v>495</v>
      </c>
      <c r="F162" s="47"/>
      <c r="G162" s="47"/>
      <c r="H162" s="48" t="s">
        <v>496</v>
      </c>
      <c r="I162" s="49">
        <v>10289</v>
      </c>
      <c r="J162" s="47">
        <v>10289</v>
      </c>
      <c r="K162" s="47"/>
      <c r="L162" s="47" t="str">
        <f>IF(22.5*0=0," ",TEXT(,ROUND((22.5*0*1),2)))</f>
        <v xml:space="preserve"> </v>
      </c>
      <c r="M162" s="47"/>
      <c r="N162" s="47"/>
      <c r="O162" s="50"/>
      <c r="P162" s="50"/>
      <c r="Q162" s="50"/>
      <c r="R162" s="50"/>
      <c r="S162" s="50"/>
      <c r="T162" s="51"/>
      <c r="U162" s="51"/>
      <c r="V162" s="51"/>
      <c r="W162" s="51"/>
      <c r="X162" s="51"/>
      <c r="Y162" s="51"/>
      <c r="Z162" s="51"/>
      <c r="AA162" s="51" t="s">
        <v>497</v>
      </c>
      <c r="AB162" s="51" t="s">
        <v>498</v>
      </c>
      <c r="AC162" s="51"/>
      <c r="AD162" s="51"/>
      <c r="AE162" s="51"/>
      <c r="AF162" s="51" t="s">
        <v>499</v>
      </c>
      <c r="AG162" s="51" t="s">
        <v>500</v>
      </c>
      <c r="AH162" s="51"/>
      <c r="AI162" s="51">
        <f>10289+0</f>
        <v>10289</v>
      </c>
    </row>
    <row r="163" spans="1:35" ht="76.5" x14ac:dyDescent="0.2">
      <c r="A163" s="44">
        <v>101</v>
      </c>
      <c r="B163" s="45" t="s">
        <v>501</v>
      </c>
      <c r="C163" s="4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Погрузочные работы при автомобильных перевозках: мусора строительного с погрузкой экскаваторами емкостью ковша до 0,5 м3
1 т груза
</v>
      </c>
      <c r="D163" s="44">
        <v>202.5</v>
      </c>
      <c r="E163" s="47">
        <v>3.28</v>
      </c>
      <c r="F163" s="47">
        <v>3.28</v>
      </c>
      <c r="G163" s="47"/>
      <c r="H163" s="48" t="s">
        <v>502</v>
      </c>
      <c r="I163" s="49">
        <v>7676</v>
      </c>
      <c r="J163" s="47"/>
      <c r="K163" s="47">
        <v>7676</v>
      </c>
      <c r="L163" s="47" t="str">
        <f>IF(202.5*0=0," ",TEXT(,ROUND((202.5*0*1),2)))</f>
        <v xml:space="preserve"> </v>
      </c>
      <c r="M163" s="47"/>
      <c r="N163" s="47"/>
      <c r="O163" s="50"/>
      <c r="P163" s="50"/>
      <c r="Q163" s="50"/>
      <c r="R163" s="50"/>
      <c r="S163" s="50"/>
      <c r="T163" s="51"/>
      <c r="U163" s="51"/>
      <c r="V163" s="51"/>
      <c r="W163" s="51"/>
      <c r="X163" s="51"/>
      <c r="Y163" s="51"/>
      <c r="Z163" s="51"/>
      <c r="AA163" s="51" t="s">
        <v>497</v>
      </c>
      <c r="AB163" s="51" t="s">
        <v>498</v>
      </c>
      <c r="AC163" s="51"/>
      <c r="AD163" s="51"/>
      <c r="AE163" s="51"/>
      <c r="AF163" s="51" t="s">
        <v>503</v>
      </c>
      <c r="AG163" s="51" t="s">
        <v>500</v>
      </c>
      <c r="AH163" s="51"/>
      <c r="AI163" s="51">
        <f>0+0</f>
        <v>0</v>
      </c>
    </row>
    <row r="164" spans="1:35" ht="76.5" x14ac:dyDescent="0.2">
      <c r="A164" s="54">
        <v>102</v>
      </c>
      <c r="B164" s="55" t="s">
        <v>504</v>
      </c>
      <c r="C164" s="56" t="str">
        <f ca="1">INDIRECT("AF"&amp;ROW())&amp;CHAR(10)&amp;INDIRECT("AG"&amp;ROW())&amp;IF(INDIRECT("AE"&amp;ROW())="", "", CHAR(10)&amp;INDIRECT("AE"&amp;ROW()))&amp;IF(INDIRECT("AC"&amp;ROW())="", "", CHAR(10)&amp;INDIRECT("AC"&amp;ROW())&amp;" руб. "&amp;INDIRECT("AA"&amp;ROW())&amp;" ("&amp;INDIRECT("AI"&amp;ROW())&amp;" руб.)")&amp;IF(INDIRECT("AD"&amp;ROW())="", "", CHAR(10)&amp;INDIRECT("AD"&amp;ROW())&amp;" руб."&amp;INDIRECT("AB"&amp;ROW())&amp;" ("&amp;INDIRECT("AI"&amp;ROW())&amp;" руб.)")&amp;CHAR(10)&amp;CHAR(10)</f>
        <v xml:space="preserve">Перевозка грузов автомобилями-самосвалами грузоподъемностью 10 т, работающих вне карьера, на расстояние: до 15 км I класс груза
1 т груза
</v>
      </c>
      <c r="D164" s="54">
        <v>225</v>
      </c>
      <c r="E164" s="57">
        <v>13.38</v>
      </c>
      <c r="F164" s="57">
        <v>13.38</v>
      </c>
      <c r="G164" s="57"/>
      <c r="H164" s="58" t="s">
        <v>505</v>
      </c>
      <c r="I164" s="59">
        <v>28815</v>
      </c>
      <c r="J164" s="57"/>
      <c r="K164" s="57">
        <v>28815</v>
      </c>
      <c r="L164" s="57" t="str">
        <f>IF(225*0=0," ",TEXT(,ROUND((225*0*1),2)))</f>
        <v xml:space="preserve"> </v>
      </c>
      <c r="M164" s="57"/>
      <c r="N164" s="57"/>
      <c r="O164" s="50"/>
      <c r="P164" s="50"/>
      <c r="Q164" s="50"/>
      <c r="R164" s="50"/>
      <c r="S164" s="50"/>
      <c r="T164" s="51"/>
      <c r="U164" s="51"/>
      <c r="V164" s="51"/>
      <c r="W164" s="51"/>
      <c r="X164" s="51"/>
      <c r="Y164" s="51"/>
      <c r="Z164" s="51"/>
      <c r="AA164" s="51" t="s">
        <v>176</v>
      </c>
      <c r="AB164" s="51" t="s">
        <v>177</v>
      </c>
      <c r="AC164" s="51"/>
      <c r="AD164" s="51"/>
      <c r="AE164" s="51"/>
      <c r="AF164" s="51" t="s">
        <v>506</v>
      </c>
      <c r="AG164" s="51" t="s">
        <v>500</v>
      </c>
      <c r="AH164" s="51"/>
      <c r="AI164" s="51">
        <f>0+0</f>
        <v>0</v>
      </c>
    </row>
    <row r="165" spans="1:35" x14ac:dyDescent="0.2">
      <c r="A165" s="92" t="s">
        <v>133</v>
      </c>
      <c r="B165" s="93"/>
      <c r="C165" s="93"/>
      <c r="D165" s="93"/>
      <c r="E165" s="93"/>
      <c r="F165" s="93"/>
      <c r="G165" s="93"/>
      <c r="H165" s="93"/>
      <c r="I165" s="49">
        <v>4642</v>
      </c>
      <c r="J165" s="47">
        <v>967</v>
      </c>
      <c r="K165" s="47">
        <v>3675</v>
      </c>
      <c r="L165" s="47"/>
      <c r="M165" s="47"/>
      <c r="N165" s="47"/>
      <c r="O165" s="18"/>
      <c r="P165" s="19"/>
      <c r="Q165" s="18"/>
      <c r="R165" s="18"/>
      <c r="S165" s="18"/>
    </row>
    <row r="166" spans="1:35" x14ac:dyDescent="0.2">
      <c r="A166" s="92" t="s">
        <v>136</v>
      </c>
      <c r="B166" s="93"/>
      <c r="C166" s="93"/>
      <c r="D166" s="93"/>
      <c r="E166" s="93"/>
      <c r="F166" s="93"/>
      <c r="G166" s="93"/>
      <c r="H166" s="93"/>
      <c r="I166" s="49">
        <v>46780</v>
      </c>
      <c r="J166" s="47">
        <v>10289</v>
      </c>
      <c r="K166" s="47">
        <v>36491</v>
      </c>
      <c r="L166" s="47"/>
      <c r="M166" s="47"/>
      <c r="N166" s="47"/>
      <c r="O166" s="18"/>
      <c r="P166" s="19"/>
      <c r="Q166" s="18"/>
      <c r="R166" s="18"/>
      <c r="S166" s="18"/>
    </row>
    <row r="167" spans="1:35" x14ac:dyDescent="0.2">
      <c r="A167" s="73" t="s">
        <v>507</v>
      </c>
      <c r="B167" s="74"/>
      <c r="C167" s="74"/>
      <c r="D167" s="74"/>
      <c r="E167" s="74"/>
      <c r="F167" s="74"/>
      <c r="G167" s="74"/>
      <c r="H167" s="74"/>
      <c r="I167" s="59">
        <v>46780</v>
      </c>
      <c r="J167" s="57"/>
      <c r="K167" s="57"/>
      <c r="L167" s="57"/>
      <c r="M167" s="57"/>
      <c r="N167" s="57"/>
      <c r="O167" s="18"/>
      <c r="P167" s="19"/>
      <c r="Q167" s="18"/>
      <c r="R167" s="18"/>
      <c r="S167" s="18"/>
    </row>
    <row r="168" spans="1:35" ht="25.5" x14ac:dyDescent="0.2">
      <c r="A168" s="94" t="s">
        <v>508</v>
      </c>
      <c r="B168" s="93"/>
      <c r="C168" s="93"/>
      <c r="D168" s="93"/>
      <c r="E168" s="93"/>
      <c r="F168" s="93"/>
      <c r="G168" s="93"/>
      <c r="H168" s="93"/>
      <c r="I168" s="60">
        <v>613616</v>
      </c>
      <c r="J168" s="60">
        <v>49340</v>
      </c>
      <c r="K168" s="60" t="s">
        <v>509</v>
      </c>
      <c r="L168" s="60">
        <v>546718</v>
      </c>
      <c r="M168" s="60"/>
      <c r="N168" s="60" t="s">
        <v>510</v>
      </c>
      <c r="O168" s="18"/>
      <c r="P168" s="19"/>
      <c r="Q168" s="18"/>
      <c r="R168" s="18"/>
      <c r="S168" s="18"/>
    </row>
    <row r="169" spans="1:35" ht="25.5" x14ac:dyDescent="0.2">
      <c r="A169" s="94" t="s">
        <v>511</v>
      </c>
      <c r="B169" s="93"/>
      <c r="C169" s="93"/>
      <c r="D169" s="93"/>
      <c r="E169" s="93"/>
      <c r="F169" s="93"/>
      <c r="G169" s="93"/>
      <c r="H169" s="93"/>
      <c r="I169" s="60">
        <v>621692</v>
      </c>
      <c r="J169" s="60">
        <v>54763</v>
      </c>
      <c r="K169" s="60" t="s">
        <v>512</v>
      </c>
      <c r="L169" s="60">
        <v>546718</v>
      </c>
      <c r="M169" s="60"/>
      <c r="N169" s="60" t="s">
        <v>513</v>
      </c>
      <c r="O169" s="18"/>
      <c r="P169" s="19"/>
      <c r="Q169" s="18"/>
      <c r="R169" s="18"/>
      <c r="S169" s="18"/>
    </row>
    <row r="170" spans="1:35" ht="25.5" x14ac:dyDescent="0.2">
      <c r="A170" s="94" t="s">
        <v>514</v>
      </c>
      <c r="B170" s="93"/>
      <c r="C170" s="93"/>
      <c r="D170" s="93"/>
      <c r="E170" s="93"/>
      <c r="F170" s="93"/>
      <c r="G170" s="93"/>
      <c r="H170" s="93"/>
      <c r="I170" s="60">
        <v>3691822</v>
      </c>
      <c r="J170" s="60">
        <v>895234</v>
      </c>
      <c r="K170" s="60" t="s">
        <v>515</v>
      </c>
      <c r="L170" s="60">
        <v>2586878</v>
      </c>
      <c r="M170" s="60"/>
      <c r="N170" s="60" t="s">
        <v>513</v>
      </c>
      <c r="O170" s="18"/>
      <c r="P170" s="19"/>
      <c r="Q170" s="18"/>
      <c r="R170" s="18"/>
      <c r="S170" s="18"/>
    </row>
    <row r="171" spans="1:35" x14ac:dyDescent="0.2">
      <c r="A171" s="94" t="s">
        <v>138</v>
      </c>
      <c r="B171" s="93"/>
      <c r="C171" s="93"/>
      <c r="D171" s="93"/>
      <c r="E171" s="93"/>
      <c r="F171" s="93"/>
      <c r="G171" s="93"/>
      <c r="H171" s="93"/>
      <c r="I171" s="60">
        <v>783430</v>
      </c>
      <c r="J171" s="60"/>
      <c r="K171" s="60"/>
      <c r="L171" s="60"/>
      <c r="M171" s="60"/>
      <c r="N171" s="60"/>
      <c r="O171" s="18"/>
      <c r="P171" s="19"/>
      <c r="Q171" s="18"/>
      <c r="R171" s="18"/>
      <c r="S171" s="18"/>
    </row>
    <row r="172" spans="1:35" x14ac:dyDescent="0.2">
      <c r="A172" s="94" t="s">
        <v>139</v>
      </c>
      <c r="B172" s="93"/>
      <c r="C172" s="93"/>
      <c r="D172" s="93"/>
      <c r="E172" s="93"/>
      <c r="F172" s="93"/>
      <c r="G172" s="93"/>
      <c r="H172" s="93"/>
      <c r="I172" s="60">
        <v>412894</v>
      </c>
      <c r="J172" s="60"/>
      <c r="K172" s="60"/>
      <c r="L172" s="60"/>
      <c r="M172" s="60"/>
      <c r="N172" s="60"/>
      <c r="O172" s="18"/>
      <c r="P172" s="19"/>
      <c r="Q172" s="18"/>
      <c r="R172" s="18"/>
      <c r="S172" s="18"/>
    </row>
    <row r="173" spans="1:35" x14ac:dyDescent="0.2">
      <c r="A173" s="95" t="s">
        <v>516</v>
      </c>
      <c r="B173" s="96"/>
      <c r="C173" s="96"/>
      <c r="D173" s="96"/>
      <c r="E173" s="96"/>
      <c r="F173" s="96"/>
      <c r="G173" s="96"/>
      <c r="H173" s="96"/>
      <c r="I173" s="60"/>
      <c r="J173" s="60"/>
      <c r="K173" s="60"/>
      <c r="L173" s="60"/>
      <c r="M173" s="60"/>
      <c r="N173" s="60"/>
      <c r="O173" s="18"/>
      <c r="P173" s="19"/>
      <c r="Q173" s="18"/>
      <c r="R173" s="18"/>
      <c r="S173" s="18"/>
    </row>
    <row r="174" spans="1:35" ht="25.5" x14ac:dyDescent="0.2">
      <c r="A174" s="94" t="s">
        <v>517</v>
      </c>
      <c r="B174" s="93"/>
      <c r="C174" s="93"/>
      <c r="D174" s="93"/>
      <c r="E174" s="93"/>
      <c r="F174" s="93"/>
      <c r="G174" s="93"/>
      <c r="H174" s="93"/>
      <c r="I174" s="60">
        <v>105655</v>
      </c>
      <c r="J174" s="60"/>
      <c r="K174" s="60"/>
      <c r="L174" s="60"/>
      <c r="M174" s="60"/>
      <c r="N174" s="60" t="s">
        <v>518</v>
      </c>
      <c r="O174" s="18"/>
      <c r="P174" s="19"/>
      <c r="Q174" s="18"/>
      <c r="R174" s="18"/>
      <c r="S174" s="18"/>
    </row>
    <row r="175" spans="1:35" ht="25.5" x14ac:dyDescent="0.2">
      <c r="A175" s="94" t="s">
        <v>519</v>
      </c>
      <c r="B175" s="93"/>
      <c r="C175" s="93"/>
      <c r="D175" s="93"/>
      <c r="E175" s="93"/>
      <c r="F175" s="93"/>
      <c r="G175" s="93"/>
      <c r="H175" s="93"/>
      <c r="I175" s="60">
        <v>533726</v>
      </c>
      <c r="J175" s="60"/>
      <c r="K175" s="60"/>
      <c r="L175" s="60"/>
      <c r="M175" s="60"/>
      <c r="N175" s="60" t="s">
        <v>520</v>
      </c>
      <c r="O175" s="18"/>
      <c r="P175" s="19"/>
      <c r="Q175" s="18"/>
      <c r="R175" s="18"/>
      <c r="S175" s="18"/>
    </row>
    <row r="176" spans="1:35" ht="25.5" x14ac:dyDescent="0.2">
      <c r="A176" s="94" t="s">
        <v>521</v>
      </c>
      <c r="B176" s="93"/>
      <c r="C176" s="93"/>
      <c r="D176" s="93"/>
      <c r="E176" s="93"/>
      <c r="F176" s="93"/>
      <c r="G176" s="93"/>
      <c r="H176" s="93"/>
      <c r="I176" s="60">
        <v>1819834</v>
      </c>
      <c r="J176" s="60"/>
      <c r="K176" s="60"/>
      <c r="L176" s="60"/>
      <c r="M176" s="60"/>
      <c r="N176" s="60" t="s">
        <v>522</v>
      </c>
      <c r="O176" s="18"/>
      <c r="P176" s="19"/>
      <c r="Q176" s="18"/>
      <c r="R176" s="18"/>
      <c r="S176" s="18"/>
    </row>
    <row r="177" spans="1:19" x14ac:dyDescent="0.2">
      <c r="A177" s="94" t="s">
        <v>523</v>
      </c>
      <c r="B177" s="93"/>
      <c r="C177" s="93"/>
      <c r="D177" s="93"/>
      <c r="E177" s="93"/>
      <c r="F177" s="93"/>
      <c r="G177" s="93"/>
      <c r="H177" s="93"/>
      <c r="I177" s="60">
        <v>52734</v>
      </c>
      <c r="J177" s="60"/>
      <c r="K177" s="60"/>
      <c r="L177" s="60"/>
      <c r="M177" s="60"/>
      <c r="N177" s="60">
        <v>145.97999999999999</v>
      </c>
      <c r="O177" s="18"/>
      <c r="P177" s="19"/>
      <c r="Q177" s="18"/>
      <c r="R177" s="18"/>
      <c r="S177" s="18"/>
    </row>
    <row r="178" spans="1:19" ht="25.5" x14ac:dyDescent="0.2">
      <c r="A178" s="94" t="s">
        <v>524</v>
      </c>
      <c r="B178" s="93"/>
      <c r="C178" s="93"/>
      <c r="D178" s="93"/>
      <c r="E178" s="93"/>
      <c r="F178" s="93"/>
      <c r="G178" s="93"/>
      <c r="H178" s="93"/>
      <c r="I178" s="60">
        <v>25550</v>
      </c>
      <c r="J178" s="60"/>
      <c r="K178" s="60"/>
      <c r="L178" s="60"/>
      <c r="M178" s="60"/>
      <c r="N178" s="60" t="s">
        <v>525</v>
      </c>
      <c r="O178" s="18"/>
      <c r="P178" s="19"/>
      <c r="Q178" s="18"/>
      <c r="R178" s="18"/>
      <c r="S178" s="18"/>
    </row>
    <row r="179" spans="1:19" ht="25.5" x14ac:dyDescent="0.2">
      <c r="A179" s="94" t="s">
        <v>526</v>
      </c>
      <c r="B179" s="93"/>
      <c r="C179" s="93"/>
      <c r="D179" s="93"/>
      <c r="E179" s="93"/>
      <c r="F179" s="93"/>
      <c r="G179" s="93"/>
      <c r="H179" s="93"/>
      <c r="I179" s="60">
        <v>39453</v>
      </c>
      <c r="J179" s="60"/>
      <c r="K179" s="60"/>
      <c r="L179" s="60"/>
      <c r="M179" s="60"/>
      <c r="N179" s="60" t="s">
        <v>527</v>
      </c>
      <c r="O179" s="18"/>
      <c r="P179" s="19"/>
      <c r="Q179" s="18"/>
      <c r="R179" s="18"/>
      <c r="S179" s="18"/>
    </row>
    <row r="180" spans="1:19" ht="25.5" x14ac:dyDescent="0.2">
      <c r="A180" s="94" t="s">
        <v>528</v>
      </c>
      <c r="B180" s="93"/>
      <c r="C180" s="93"/>
      <c r="D180" s="93"/>
      <c r="E180" s="93"/>
      <c r="F180" s="93"/>
      <c r="G180" s="93"/>
      <c r="H180" s="93"/>
      <c r="I180" s="60">
        <v>96834</v>
      </c>
      <c r="J180" s="60"/>
      <c r="K180" s="60"/>
      <c r="L180" s="60"/>
      <c r="M180" s="60"/>
      <c r="N180" s="60" t="s">
        <v>529</v>
      </c>
      <c r="O180" s="18"/>
      <c r="P180" s="19"/>
      <c r="Q180" s="18"/>
      <c r="R180" s="18"/>
      <c r="S180" s="18"/>
    </row>
    <row r="181" spans="1:19" x14ac:dyDescent="0.2">
      <c r="A181" s="94" t="s">
        <v>530</v>
      </c>
      <c r="B181" s="93"/>
      <c r="C181" s="93"/>
      <c r="D181" s="93"/>
      <c r="E181" s="93"/>
      <c r="F181" s="93"/>
      <c r="G181" s="93"/>
      <c r="H181" s="93"/>
      <c r="I181" s="60">
        <v>1101537</v>
      </c>
      <c r="J181" s="60"/>
      <c r="K181" s="60"/>
      <c r="L181" s="60"/>
      <c r="M181" s="60"/>
      <c r="N181" s="60"/>
      <c r="O181" s="18"/>
      <c r="P181" s="19"/>
      <c r="Q181" s="18"/>
      <c r="R181" s="18"/>
      <c r="S181" s="18"/>
    </row>
    <row r="182" spans="1:19" x14ac:dyDescent="0.2">
      <c r="A182" s="94" t="s">
        <v>531</v>
      </c>
      <c r="B182" s="93"/>
      <c r="C182" s="93"/>
      <c r="D182" s="93"/>
      <c r="E182" s="93"/>
      <c r="F182" s="93"/>
      <c r="G182" s="93"/>
      <c r="H182" s="93"/>
      <c r="I182" s="60">
        <v>-14596</v>
      </c>
      <c r="J182" s="60"/>
      <c r="K182" s="60"/>
      <c r="L182" s="60"/>
      <c r="M182" s="60"/>
      <c r="N182" s="60"/>
      <c r="O182" s="18"/>
      <c r="P182" s="19"/>
      <c r="Q182" s="18"/>
      <c r="R182" s="18"/>
      <c r="S182" s="18"/>
    </row>
    <row r="183" spans="1:19" ht="25.5" x14ac:dyDescent="0.2">
      <c r="A183" s="94" t="s">
        <v>532</v>
      </c>
      <c r="B183" s="93"/>
      <c r="C183" s="93"/>
      <c r="D183" s="93"/>
      <c r="E183" s="93"/>
      <c r="F183" s="93"/>
      <c r="G183" s="93"/>
      <c r="H183" s="93"/>
      <c r="I183" s="60">
        <v>963680</v>
      </c>
      <c r="J183" s="60"/>
      <c r="K183" s="60"/>
      <c r="L183" s="60"/>
      <c r="M183" s="60"/>
      <c r="N183" s="60" t="s">
        <v>533</v>
      </c>
      <c r="O183" s="18"/>
      <c r="P183" s="19"/>
      <c r="Q183" s="18"/>
      <c r="R183" s="18"/>
      <c r="S183" s="18"/>
    </row>
    <row r="184" spans="1:19" x14ac:dyDescent="0.2">
      <c r="A184" s="94" t="s">
        <v>534</v>
      </c>
      <c r="B184" s="93"/>
      <c r="C184" s="93"/>
      <c r="D184" s="93"/>
      <c r="E184" s="93"/>
      <c r="F184" s="93"/>
      <c r="G184" s="93"/>
      <c r="H184" s="93"/>
      <c r="I184" s="60">
        <v>11198</v>
      </c>
      <c r="J184" s="60"/>
      <c r="K184" s="60"/>
      <c r="L184" s="60"/>
      <c r="M184" s="60"/>
      <c r="N184" s="60">
        <v>31.2</v>
      </c>
      <c r="O184" s="18"/>
      <c r="P184" s="19"/>
      <c r="Q184" s="18"/>
      <c r="R184" s="18"/>
      <c r="S184" s="18"/>
    </row>
    <row r="185" spans="1:19" ht="25.5" x14ac:dyDescent="0.2">
      <c r="A185" s="94" t="s">
        <v>535</v>
      </c>
      <c r="B185" s="93"/>
      <c r="C185" s="93"/>
      <c r="D185" s="93"/>
      <c r="E185" s="93"/>
      <c r="F185" s="93"/>
      <c r="G185" s="93"/>
      <c r="H185" s="93"/>
      <c r="I185" s="60">
        <v>105761</v>
      </c>
      <c r="J185" s="60"/>
      <c r="K185" s="60"/>
      <c r="L185" s="60"/>
      <c r="M185" s="60"/>
      <c r="N185" s="60" t="s">
        <v>536</v>
      </c>
      <c r="O185" s="18"/>
      <c r="P185" s="19"/>
      <c r="Q185" s="18"/>
      <c r="R185" s="18"/>
      <c r="S185" s="18"/>
    </row>
    <row r="186" spans="1:19" x14ac:dyDescent="0.2">
      <c r="A186" s="94" t="s">
        <v>537</v>
      </c>
      <c r="B186" s="93"/>
      <c r="C186" s="93"/>
      <c r="D186" s="93"/>
      <c r="E186" s="93"/>
      <c r="F186" s="93"/>
      <c r="G186" s="93"/>
      <c r="H186" s="93"/>
      <c r="I186" s="60">
        <v>17965</v>
      </c>
      <c r="J186" s="60"/>
      <c r="K186" s="60"/>
      <c r="L186" s="60"/>
      <c r="M186" s="60"/>
      <c r="N186" s="60"/>
      <c r="O186" s="18"/>
      <c r="P186" s="19"/>
      <c r="Q186" s="18"/>
      <c r="R186" s="18"/>
      <c r="S186" s="18"/>
    </row>
    <row r="187" spans="1:19" x14ac:dyDescent="0.2">
      <c r="A187" s="94" t="s">
        <v>538</v>
      </c>
      <c r="B187" s="93"/>
      <c r="C187" s="93"/>
      <c r="D187" s="93"/>
      <c r="E187" s="93"/>
      <c r="F187" s="93"/>
      <c r="G187" s="93"/>
      <c r="H187" s="93"/>
      <c r="I187" s="60">
        <v>28815</v>
      </c>
      <c r="J187" s="60"/>
      <c r="K187" s="60"/>
      <c r="L187" s="60"/>
      <c r="M187" s="60"/>
      <c r="N187" s="60"/>
      <c r="O187" s="18"/>
      <c r="P187" s="19"/>
      <c r="Q187" s="18"/>
      <c r="R187" s="18"/>
      <c r="S187" s="18"/>
    </row>
    <row r="188" spans="1:19" ht="25.5" x14ac:dyDescent="0.2">
      <c r="A188" s="94" t="s">
        <v>539</v>
      </c>
      <c r="B188" s="93"/>
      <c r="C188" s="93"/>
      <c r="D188" s="93"/>
      <c r="E188" s="93"/>
      <c r="F188" s="93"/>
      <c r="G188" s="93"/>
      <c r="H188" s="93"/>
      <c r="I188" s="60">
        <v>4888146</v>
      </c>
      <c r="J188" s="60"/>
      <c r="K188" s="60"/>
      <c r="L188" s="60"/>
      <c r="M188" s="60"/>
      <c r="N188" s="60" t="s">
        <v>513</v>
      </c>
      <c r="O188" s="18"/>
      <c r="P188" s="19"/>
      <c r="Q188" s="18"/>
      <c r="R188" s="18"/>
      <c r="S188" s="18"/>
    </row>
    <row r="189" spans="1:19" x14ac:dyDescent="0.2">
      <c r="A189" s="94" t="s">
        <v>540</v>
      </c>
      <c r="B189" s="93"/>
      <c r="C189" s="93"/>
      <c r="D189" s="93"/>
      <c r="E189" s="93"/>
      <c r="F189" s="93"/>
      <c r="G189" s="93"/>
      <c r="H189" s="93"/>
      <c r="I189" s="60"/>
      <c r="J189" s="60"/>
      <c r="K189" s="60"/>
      <c r="L189" s="60"/>
      <c r="M189" s="60"/>
      <c r="N189" s="60"/>
      <c r="O189" s="18"/>
      <c r="P189" s="19"/>
      <c r="Q189" s="18"/>
      <c r="R189" s="18"/>
      <c r="S189" s="18"/>
    </row>
    <row r="190" spans="1:19" x14ac:dyDescent="0.2">
      <c r="A190" s="94" t="s">
        <v>541</v>
      </c>
      <c r="B190" s="93"/>
      <c r="C190" s="93"/>
      <c r="D190" s="93"/>
      <c r="E190" s="93"/>
      <c r="F190" s="93"/>
      <c r="G190" s="93"/>
      <c r="H190" s="93"/>
      <c r="I190" s="60">
        <v>2586878</v>
      </c>
      <c r="J190" s="60"/>
      <c r="K190" s="60"/>
      <c r="L190" s="60"/>
      <c r="M190" s="60"/>
      <c r="N190" s="60"/>
      <c r="O190" s="18"/>
      <c r="P190" s="19"/>
      <c r="Q190" s="18"/>
      <c r="R190" s="18"/>
      <c r="S190" s="18"/>
    </row>
    <row r="191" spans="1:19" x14ac:dyDescent="0.2">
      <c r="A191" s="94" t="s">
        <v>542</v>
      </c>
      <c r="B191" s="93"/>
      <c r="C191" s="93"/>
      <c r="D191" s="93"/>
      <c r="E191" s="93"/>
      <c r="F191" s="93"/>
      <c r="G191" s="93"/>
      <c r="H191" s="93"/>
      <c r="I191" s="60">
        <v>209711</v>
      </c>
      <c r="J191" s="60"/>
      <c r="K191" s="60"/>
      <c r="L191" s="60"/>
      <c r="M191" s="60"/>
      <c r="N191" s="60"/>
      <c r="O191" s="18"/>
      <c r="P191" s="19"/>
      <c r="Q191" s="18"/>
      <c r="R191" s="18"/>
      <c r="S191" s="18"/>
    </row>
    <row r="192" spans="1:19" x14ac:dyDescent="0.2">
      <c r="A192" s="94" t="s">
        <v>543</v>
      </c>
      <c r="B192" s="93"/>
      <c r="C192" s="93"/>
      <c r="D192" s="93"/>
      <c r="E192" s="93"/>
      <c r="F192" s="93"/>
      <c r="G192" s="93"/>
      <c r="H192" s="93"/>
      <c r="I192" s="60">
        <v>915909</v>
      </c>
      <c r="J192" s="60"/>
      <c r="K192" s="60"/>
      <c r="L192" s="60"/>
      <c r="M192" s="60"/>
      <c r="N192" s="60"/>
      <c r="O192" s="18"/>
      <c r="P192" s="19"/>
      <c r="Q192" s="18"/>
      <c r="R192" s="18"/>
      <c r="S192" s="18"/>
    </row>
    <row r="193" spans="1:19" x14ac:dyDescent="0.2">
      <c r="A193" s="94" t="s">
        <v>544</v>
      </c>
      <c r="B193" s="93"/>
      <c r="C193" s="93"/>
      <c r="D193" s="93"/>
      <c r="E193" s="93"/>
      <c r="F193" s="93"/>
      <c r="G193" s="93"/>
      <c r="H193" s="93"/>
      <c r="I193" s="60">
        <v>783430</v>
      </c>
      <c r="J193" s="60"/>
      <c r="K193" s="60"/>
      <c r="L193" s="60"/>
      <c r="M193" s="60"/>
      <c r="N193" s="60"/>
      <c r="O193" s="18"/>
      <c r="P193" s="19"/>
      <c r="Q193" s="18"/>
      <c r="R193" s="18"/>
      <c r="S193" s="18"/>
    </row>
    <row r="194" spans="1:19" x14ac:dyDescent="0.2">
      <c r="A194" s="94" t="s">
        <v>545</v>
      </c>
      <c r="B194" s="93"/>
      <c r="C194" s="93"/>
      <c r="D194" s="93"/>
      <c r="E194" s="93"/>
      <c r="F194" s="93"/>
      <c r="G194" s="93"/>
      <c r="H194" s="93"/>
      <c r="I194" s="60">
        <v>412894</v>
      </c>
      <c r="J194" s="60"/>
      <c r="K194" s="60"/>
      <c r="L194" s="60"/>
      <c r="M194" s="60"/>
      <c r="N194" s="60"/>
      <c r="O194" s="18"/>
      <c r="P194" s="19"/>
      <c r="Q194" s="18"/>
      <c r="R194" s="18"/>
      <c r="S194" s="18"/>
    </row>
    <row r="195" spans="1:19" ht="25.5" x14ac:dyDescent="0.2">
      <c r="A195" s="95" t="s">
        <v>546</v>
      </c>
      <c r="B195" s="96"/>
      <c r="C195" s="96"/>
      <c r="D195" s="96"/>
      <c r="E195" s="96"/>
      <c r="F195" s="96"/>
      <c r="G195" s="96"/>
      <c r="H195" s="96"/>
      <c r="I195" s="60">
        <v>4888146</v>
      </c>
      <c r="J195" s="60"/>
      <c r="K195" s="60"/>
      <c r="L195" s="60"/>
      <c r="M195" s="60"/>
      <c r="N195" s="60" t="s">
        <v>513</v>
      </c>
      <c r="O195" s="18"/>
      <c r="P195" s="19"/>
      <c r="Q195" s="18"/>
      <c r="R195" s="18"/>
      <c r="S195" s="18"/>
    </row>
    <row r="196" spans="1:19" x14ac:dyDescent="0.2">
      <c r="A196" s="17"/>
      <c r="B196" s="37"/>
      <c r="C196" s="37"/>
      <c r="D196" s="17"/>
      <c r="E196" s="34"/>
      <c r="F196" s="34"/>
      <c r="G196" s="34"/>
      <c r="H196" s="34"/>
      <c r="I196" s="38"/>
      <c r="J196" s="34"/>
      <c r="K196" s="34"/>
      <c r="L196" s="34"/>
      <c r="M196" s="34"/>
      <c r="O196" s="5"/>
      <c r="P196" s="5"/>
      <c r="Q196" s="5"/>
      <c r="R196" s="5"/>
      <c r="S196" s="5"/>
    </row>
    <row r="197" spans="1:19" x14ac:dyDescent="0.2">
      <c r="A197" s="17"/>
      <c r="B197" s="37"/>
      <c r="C197" s="37"/>
      <c r="D197" s="17"/>
      <c r="E197" s="34"/>
      <c r="F197" s="34"/>
      <c r="G197" s="34"/>
      <c r="H197" s="34"/>
      <c r="I197" s="38"/>
      <c r="J197" s="34"/>
      <c r="K197" s="34"/>
      <c r="L197" s="34"/>
      <c r="M197" s="34"/>
    </row>
    <row r="198" spans="1:19" x14ac:dyDescent="0.2">
      <c r="A198" s="17"/>
      <c r="B198" s="37"/>
      <c r="C198" s="39" t="s">
        <v>551</v>
      </c>
      <c r="D198" s="17"/>
      <c r="E198" s="34"/>
      <c r="F198" s="39" t="s">
        <v>28</v>
      </c>
      <c r="G198" s="39"/>
      <c r="H198" s="39"/>
      <c r="I198" s="34"/>
      <c r="J198" s="34"/>
      <c r="K198" s="34"/>
      <c r="L198" s="34"/>
      <c r="M198" s="34"/>
    </row>
  </sheetData>
  <mergeCells count="94">
    <mergeCell ref="A194:H194"/>
    <mergeCell ref="A195:H195"/>
    <mergeCell ref="A188:H188"/>
    <mergeCell ref="A189:H189"/>
    <mergeCell ref="A190:H190"/>
    <mergeCell ref="A191:H191"/>
    <mergeCell ref="A192:H192"/>
    <mergeCell ref="A193:H193"/>
    <mergeCell ref="A187:H187"/>
    <mergeCell ref="A176:H176"/>
    <mergeCell ref="A177:H177"/>
    <mergeCell ref="A178:H178"/>
    <mergeCell ref="A179:H179"/>
    <mergeCell ref="A180:H180"/>
    <mergeCell ref="A181:H181"/>
    <mergeCell ref="A182:H182"/>
    <mergeCell ref="A183:H183"/>
    <mergeCell ref="A184:H184"/>
    <mergeCell ref="A185:H185"/>
    <mergeCell ref="A186:H186"/>
    <mergeCell ref="A175:H175"/>
    <mergeCell ref="A161:AI161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60:H160"/>
    <mergeCell ref="A138:H138"/>
    <mergeCell ref="A139:H139"/>
    <mergeCell ref="A140:H140"/>
    <mergeCell ref="A141:AI141"/>
    <mergeCell ref="A153:H153"/>
    <mergeCell ref="A154:H154"/>
    <mergeCell ref="A155:H155"/>
    <mergeCell ref="A156:H156"/>
    <mergeCell ref="A157:H157"/>
    <mergeCell ref="A158:H158"/>
    <mergeCell ref="A159:H159"/>
    <mergeCell ref="A137:H137"/>
    <mergeCell ref="A117:H117"/>
    <mergeCell ref="A118:H118"/>
    <mergeCell ref="A119:H119"/>
    <mergeCell ref="A120:H120"/>
    <mergeCell ref="A121:H121"/>
    <mergeCell ref="A122:H122"/>
    <mergeCell ref="A123:AI123"/>
    <mergeCell ref="A133:H133"/>
    <mergeCell ref="A134:H134"/>
    <mergeCell ref="A135:H135"/>
    <mergeCell ref="A136:H136"/>
    <mergeCell ref="A36:H36"/>
    <mergeCell ref="A37:H37"/>
    <mergeCell ref="A116:H116"/>
    <mergeCell ref="A39:AI39"/>
    <mergeCell ref="A60:H60"/>
    <mergeCell ref="A61:H61"/>
    <mergeCell ref="A62:H62"/>
    <mergeCell ref="A63:H63"/>
    <mergeCell ref="A64:H64"/>
    <mergeCell ref="A65:H65"/>
    <mergeCell ref="A66:H66"/>
    <mergeCell ref="A67:H67"/>
    <mergeCell ref="A68:AI68"/>
    <mergeCell ref="A115:H115"/>
    <mergeCell ref="A38:H3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AI20"/>
    <mergeCell ref="A34:H34"/>
    <mergeCell ref="A35:H35"/>
    <mergeCell ref="A4:C4"/>
    <mergeCell ref="I4:N4"/>
    <mergeCell ref="J17:J18"/>
    <mergeCell ref="L17:L18"/>
    <mergeCell ref="N17:N18"/>
    <mergeCell ref="A15:A18"/>
    <mergeCell ref="D15:D18"/>
    <mergeCell ref="J11:N12"/>
  </mergeCells>
  <phoneticPr fontId="0" type="noConversion"/>
  <pageMargins left="0.23622047244094491" right="0.19685039370078741" top="0.35433070866141736" bottom="0.27559055118110237" header="0.27559055118110237" footer="0.19685039370078741"/>
  <pageSetup paperSize="9" scale="95" orientation="landscape" r:id="rId1"/>
  <headerFooter alignWithMargins="0"/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Лок.См.Расч.Баз.-Инд.Методом</vt:lpstr>
      <vt:lpstr>'Лок.См.Расч.Баз.-Инд.Методом'!Заголовки_для_печати</vt:lpstr>
      <vt:lpstr>'Лок.См.Расч.Баз.-Инд.Методом'!Область_печати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2011-11-29T05:51:06Z</cp:lastPrinted>
  <dcterms:created xsi:type="dcterms:W3CDTF">2003-01-28T12:33:10Z</dcterms:created>
  <dcterms:modified xsi:type="dcterms:W3CDTF">2016-02-11T06:25:20Z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