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ТОМСК 08,02,16\нОВГОРОДСКАЯ 42\"/>
    </mc:Choice>
  </mc:AlternateContent>
  <bookViews>
    <workbookView xWindow="0" yWindow="60" windowWidth="7500" windowHeight="4245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'Лок.См.Расч.Баз.-Инд.Методом'!$A$1:$N$71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49" i="5" l="1"/>
  <c r="AI49" i="5"/>
  <c r="L50" i="5"/>
  <c r="AI50" i="5"/>
  <c r="L33" i="5"/>
  <c r="AI33" i="5"/>
  <c r="L34" i="5"/>
  <c r="AI34" i="5"/>
  <c r="L35" i="5"/>
  <c r="AI35" i="5"/>
  <c r="L36" i="5"/>
  <c r="AI36" i="5"/>
  <c r="L37" i="5"/>
  <c r="AI37" i="5"/>
  <c r="L38" i="5"/>
  <c r="AI38" i="5"/>
  <c r="L39" i="5"/>
  <c r="AI39" i="5"/>
  <c r="L40" i="5"/>
  <c r="AI40" i="5"/>
  <c r="L41" i="5"/>
  <c r="AI41" i="5"/>
  <c r="L42" i="5"/>
  <c r="AI42" i="5"/>
  <c r="L21" i="5"/>
  <c r="AI21" i="5"/>
  <c r="L22" i="5"/>
  <c r="AI22" i="5"/>
  <c r="L23" i="5"/>
  <c r="AI23" i="5"/>
  <c r="L24" i="5"/>
  <c r="AI24" i="5"/>
  <c r="L25" i="5"/>
  <c r="AI25" i="5"/>
  <c r="L26" i="5"/>
  <c r="AI26" i="5"/>
  <c r="C36" i="5"/>
  <c r="C22" i="5"/>
  <c r="C41" i="5"/>
  <c r="C42" i="5"/>
  <c r="C39" i="5"/>
  <c r="C50" i="5"/>
  <c r="C26" i="5"/>
  <c r="C23" i="5"/>
  <c r="C24" i="5"/>
  <c r="C21" i="5"/>
  <c r="C33" i="5"/>
  <c r="C34" i="5"/>
  <c r="C49" i="5"/>
  <c r="C25" i="5"/>
  <c r="C40" i="5"/>
  <c r="C37" i="5"/>
  <c r="C38" i="5"/>
  <c r="C35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5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5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5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7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<sst xmlns="http://schemas.openxmlformats.org/spreadsheetml/2006/main" count="218" uniqueCount="165">
  <si>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</si>
  <si>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</si>
  <si>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</si>
  <si>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</si>
  <si>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</si>
  <si>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</si>
  <si>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</si>
  <si>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</si>
  <si>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</si>
  <si>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</si>
  <si>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</si>
  <si>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</si>
  <si>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</si>
  <si>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</si>
  <si>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</si>
  <si>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</si>
  <si>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</si>
  <si>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</si>
  <si>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</si>
  <si>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</si>
  <si>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</si>
  <si>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</si>
  <si>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</si>
  <si>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10"/>
        <rFont val="Times New Roman"/>
        <family val="1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</si>
  <si>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"/>
        <rFont val="Times New Roman"/>
        <family val="1"/>
        <charset val="204"/>
      </rPr>
      <t>(в текущем уровне цен)</t>
    </r>
  </si>
  <si>
    <t xml:space="preserve">
ИНН/КПП /</t>
  </si>
  <si>
    <t>ЛОКАЛЬНЫЙ СМЕТНЫЙ РАСЧЕТ №  02-01-02</t>
  </si>
  <si>
    <t>Основание:  проект П-15-23-2-ЭМ</t>
  </si>
  <si>
    <t>Проверил:____________________________</t>
  </si>
  <si>
    <t xml:space="preserve">                           Раздел 1. Монтажные работы</t>
  </si>
  <si>
    <t>ФЕРм08-02-472-08</t>
  </si>
  <si>
    <t>541,57
188,94</t>
  </si>
  <si>
    <t>51,62
1,49</t>
  </si>
  <si>
    <t>55.350 Проводник заземляющий открыто по строительным основаниям: ОЗП=16,45; ЭМ=8,32; ЗПМ=16,45; МАТ=3,63</t>
  </si>
  <si>
    <t>1115
66</t>
  </si>
  <si>
    <t>20,1
0,11</t>
  </si>
  <si>
    <t>52,26
0,29</t>
  </si>
  <si>
    <t>НР 81%=95%*0,85 от ФОТ</t>
  </si>
  <si>
    <t>СП 52%=65%*0,8 от ФОТ</t>
  </si>
  <si>
    <t>Проводник заземляющий открыто по строительным основаниям: из круглой стали диаметром 8 мм сетка под кровлей</t>
  </si>
  <si>
    <t>100 м</t>
  </si>
  <si>
    <t>ФССЦ-101-1627</t>
  </si>
  <si>
    <t>Сталь листовая углеродистая обыкновенного качества марки ВСт3пс5 толщиной:4-6 мм; МАТ=5,264</t>
  </si>
  <si>
    <t>Сталь листовая углеродистая обыкновенного качества марки ВСт3пс5 толщиной: 4-6 мм</t>
  </si>
  <si>
    <t>т</t>
  </si>
  <si>
    <t>649
33</t>
  </si>
  <si>
    <t>30,55
0,17</t>
  </si>
  <si>
    <t>Проводник заземляющий открыто по строительным основаниям: из круглой стали диаметром 8 мм</t>
  </si>
  <si>
    <t>ФЕРм08-02-472-05</t>
  </si>
  <si>
    <t>388,72
167,32</t>
  </si>
  <si>
    <t>180,24
7,43</t>
  </si>
  <si>
    <t>55.349 Проводник заземляющий скрыто в подливке пола из стали: ОЗП=16,45; ЭМ=8,57; ЗПМ=16,45; МАТ=3,65</t>
  </si>
  <si>
    <t>2991
230</t>
  </si>
  <si>
    <t>17,8
0,55</t>
  </si>
  <si>
    <t>34,44
1,06</t>
  </si>
  <si>
    <t>Проводник заземляющий скрыто в земле из стали: круглой диаметром 12 мм</t>
  </si>
  <si>
    <t>ФЕРм10-05-001-04</t>
  </si>
  <si>
    <t>251,26
246,33</t>
  </si>
  <si>
    <t>57.204 Настройка крупных систем коллективного приёма телевидения (КСКПТ): ОЗП=16,45; МАТ=5,58</t>
  </si>
  <si>
    <t>НР 78%=92%*0,85 от ФОТ</t>
  </si>
  <si>
    <t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</t>
  </si>
  <si>
    <t>1 антенна</t>
  </si>
  <si>
    <t>Итого прямые затраты по разделу в ценах 2001г.</t>
  </si>
  <si>
    <t>561
20</t>
  </si>
  <si>
    <t>212,45
1,52</t>
  </si>
  <si>
    <t>Итого прямые затраты по разделу с учетом индексов, в текущих ценах</t>
  </si>
  <si>
    <t>4755
329</t>
  </si>
  <si>
    <t>Накладные расходы</t>
  </si>
  <si>
    <t>Сметная прибыль</t>
  </si>
  <si>
    <t>Итого по разделу 1 Монтажные работы</t>
  </si>
  <si>
    <t xml:space="preserve">                           Раздел 2. Строительные работы</t>
  </si>
  <si>
    <t>ФЕРр68-12-4</t>
  </si>
  <si>
    <t>6008,44
2022,24</t>
  </si>
  <si>
    <t>3986,2
423,83</t>
  </si>
  <si>
    <t>93.23 Разборка покрытий и оснований: асфальтобетонных с помощью молотков отбойных: ОЗП=16,45; ЭМ=8,84; ЗПМ=16,45</t>
  </si>
  <si>
    <t>5923
1168</t>
  </si>
  <si>
    <t>243,35
41,39</t>
  </si>
  <si>
    <t>40,88
6,95</t>
  </si>
  <si>
    <t>НР 88%=104%*0,85 от ФОТ</t>
  </si>
  <si>
    <t>СП 48%=60%*0,8 от ФОТ</t>
  </si>
  <si>
    <t>Разборка покрытий и оснований: асфальтобетонных с помощью молотков отбойных</t>
  </si>
  <si>
    <t>100 м3 конструкций</t>
  </si>
  <si>
    <t>ФЕР01-02-057-02</t>
  </si>
  <si>
    <t>1201,2
1201,2</t>
  </si>
  <si>
    <t>1.181 Разработка грунта вручную в траншеях, копание ям вручную без креплений для стоек и столбов: ОЗП=16,45</t>
  </si>
  <si>
    <t>НР 61%=80%*(0,85*0,9) от ФОТ</t>
  </si>
  <si>
    <t>СП 31%=45%*(0,8*0,85) от ФОТ</t>
  </si>
  <si>
    <t>Разработка грунта вручную в траншеях глубиной до 2 м без креплений с откосами, группа грунтов: 2</t>
  </si>
  <si>
    <t>100 м3 грунта</t>
  </si>
  <si>
    <t>ФЕР01-02-061-01</t>
  </si>
  <si>
    <t>663,75
663,75</t>
  </si>
  <si>
    <t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ОЗП=16,45</t>
  </si>
  <si>
    <t>Засыпка вручную траншей, пазух котлованов и ям, группа грунтов: 1</t>
  </si>
  <si>
    <t>ФЕР08-01-002-01</t>
  </si>
  <si>
    <t>117,5
18,79</t>
  </si>
  <si>
    <t>26,36
3,04</t>
  </si>
  <si>
    <t>8.2. Устройство основания под фундаменты: песчаного: ОЗП=16,45; ЭМ=7,46; ЗПМ=16,45; МАТ=8,94</t>
  </si>
  <si>
    <t>5505
1398</t>
  </si>
  <si>
    <t>2,3
0,29</t>
  </si>
  <si>
    <t>64,4
8,12</t>
  </si>
  <si>
    <t>НР 93%=122%*(0,85*0,9) от ФОТ</t>
  </si>
  <si>
    <t>СП 54%=80%*(0,8*0,85) от ФОТ</t>
  </si>
  <si>
    <t>Устройство основания под фундаменты: песчаного</t>
  </si>
  <si>
    <t>1 м3 основания</t>
  </si>
  <si>
    <t>ФССЦ-408-0141</t>
  </si>
  <si>
    <t>Песок природный для строительных:растворов средний; МАТ=8,929</t>
  </si>
  <si>
    <t>Песок природный для строительных: растворов средний</t>
  </si>
  <si>
    <t>м3</t>
  </si>
  <si>
    <t>ФССЦ-408-0200</t>
  </si>
  <si>
    <t>Смесь песчано-гравийная природная; МАТ=10,761</t>
  </si>
  <si>
    <t>Смесь песчано-гравийная природная</t>
  </si>
  <si>
    <t>ФЕР27-07-001-01</t>
  </si>
  <si>
    <t>3566,51
140,46</t>
  </si>
  <si>
    <t>57,68
0,57</t>
  </si>
  <si>
    <t>27.167 Устройство асфальтобетонных покрытий дорожек и тротуаров однослойных из литой мелкозернистой асфальтобетонной смеси: ОЗП=16,45; ЭМ=4,28; ЗПМ=16,45; МАТ=7,01</t>
  </si>
  <si>
    <t>347
16</t>
  </si>
  <si>
    <t>15,12
0,05</t>
  </si>
  <si>
    <t>21,17
0,07</t>
  </si>
  <si>
    <t>НР 109%=142%*(0,85*0,9) от ФОТ</t>
  </si>
  <si>
    <t>СП 65%=95%*(0,8*0,85) от ФОТ</t>
  </si>
  <si>
    <t>Устройство асфальтобетонных покрытий дорожек и тротуаров однослойных из литой мелкозернистой асфальтобетонной смеси толщиной 3 см</t>
  </si>
  <si>
    <t>100 м2 покрытия</t>
  </si>
  <si>
    <t>ФЕР27-07-001-02
ПЗ=14
ОЗП=14
ЭМ=14
ЗПМ=14
МАТ=14
ТЗ=14
ТЗМ=14</t>
  </si>
  <si>
    <t>8133,58
301,7</t>
  </si>
  <si>
    <t>КОЭФ. К ПОЗИЦИИ:
Всего толщ. 10 см ПЗ=14 (ОЗП=14; ЭМ=14 к расх.; ЗПМ=14; МАТ=14 к расх.; ТЗ=14; ТЗМ=14)</t>
  </si>
  <si>
    <t>На каждые 0,5 см изменения толщины покрытия добавлять к расценке 27-07-001-01</t>
  </si>
  <si>
    <t>ФССЦ-410-0054</t>
  </si>
  <si>
    <t>Асфальт литой:для покрытий тротуаров тип II (жесткий); МАТ=6,823</t>
  </si>
  <si>
    <t>Асфальт литой: для покрытий тротуаров тип II (жесткий)</t>
  </si>
  <si>
    <t>ФССЦ-410-0005</t>
  </si>
  <si>
    <t>Смеси асфальтобетонные дорожные, аэродромные и асфальтобетон (горячие и теплые для плотного асфальтобетона мелко и крупнозернистые, песчаные), марка II тип А; МАТ=7,014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</si>
  <si>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II, тип А</t>
  </si>
  <si>
    <t>1654
157</t>
  </si>
  <si>
    <t>278,62
15,14</t>
  </si>
  <si>
    <t>12481
2582</t>
  </si>
  <si>
    <t>Итого по разделу 2 Строительные работы</t>
  </si>
  <si>
    <t xml:space="preserve">                           Раздел 3. Материалы для монтажных работ</t>
  </si>
  <si>
    <t>ФССЦ-101-1613</t>
  </si>
  <si>
    <t>Сталь круглая углеродистая обыкновенного качества марки ВСт3пс5-1 диаметром:8 мм; МАТ=5,541</t>
  </si>
  <si>
    <t>Сталь круглая углеродистая обыкновенного качества марки ВСт3пс5-1 диаметром: 8 мм</t>
  </si>
  <si>
    <t>ФССЦ-101-1619</t>
  </si>
  <si>
    <t>Сталь круглая углеродистая обыкновенного качества марки ВСт3пс5-1 диаметром 18 мм; МАТ=5,475</t>
  </si>
  <si>
    <t>Сталь круглая углеродистая обыкновенного качества марки ВСт3пс5-1 диаметром: 18 мм</t>
  </si>
  <si>
    <t>Итого по разделу 3 Материалы для монтажных работ</t>
  </si>
  <si>
    <t>Итого прямые затраты по смете в ценах 2001г.</t>
  </si>
  <si>
    <t>2215
177</t>
  </si>
  <si>
    <t>491,07
16,66</t>
  </si>
  <si>
    <t>Итого прямые затраты по смете с учетом индексов, в текущих ценах</t>
  </si>
  <si>
    <t>17236
2911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</si>
  <si>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</si>
  <si>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</si>
  <si>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</si>
  <si>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</si>
  <si>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</si>
  <si>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</si>
  <si>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</si>
  <si>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</si>
  <si>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</si>
  <si>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</si>
  <si>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</si>
  <si>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2 кв. 2015 года</t>
  </si>
  <si>
    <t xml:space="preserve">на   монтаж молниезащиты </t>
  </si>
  <si>
    <t>Капитальный ремонт многоквартирного дома, расположенного по адресу: Томская область, г. Томск, ул. Новгородская, дом № 42</t>
  </si>
  <si>
    <t>Проведена проверка достоверности определения сметной стоимости</t>
  </si>
  <si>
    <t>Составила:____________________________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</si>
</sst>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1" xfId="3" applyFont="1" applyBorder="1" applyAlignment="1">
      <alignment horizontal="right" vertical="top" wrapText="1"/>
    </xf>
    <xf numFmtId="0" fontId="1" fillId="0" borderId="0" xfId="9" quotePrefix="1" applyFont="1" applyAlignment="1">
      <alignment horizontal="left"/>
    </xf>
    <xf numFmtId="0" fontId="1" fillId="0" borderId="2" xfId="9" applyFont="1" applyBorder="1" applyAlignment="1">
      <alignment horizontal="center"/>
    </xf>
    <xf numFmtId="0" fontId="1" fillId="0" borderId="2" xfId="9" applyFont="1" applyBorder="1" applyAlignment="1">
      <alignment horizontal="left"/>
    </xf>
    <xf numFmtId="0" fontId="1" fillId="0" borderId="0" xfId="11" applyFont="1" applyAlignment="1">
      <alignment horizontal="left" vertical="top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71"/>
  <sheetViews>
    <sheetView showGridLines="0" tabSelected="1" zoomScale="101" zoomScaleNormal="101" workbookViewId="0">
      <selection activeCell="R16" sqref="R16"/>
    </sheetView>
  </sheetViews>
  <sheetFormatPr defaultRowHeight="12.75" x14ac:dyDescent="0.2"/>
  <cols>
    <col min="1" max="1" width="3.42578125" style="3" customWidth="1"/>
    <col min="2" max="2" width="14.42578125" style="3" customWidth="1"/>
    <col min="3" max="3" width="41.7109375" style="3" customWidth="1"/>
    <col min="4" max="4" width="6.85546875" style="3" customWidth="1"/>
    <col min="5" max="5" width="9.7109375" style="33" customWidth="1"/>
    <col min="6" max="6" width="8.85546875" style="33" customWidth="1"/>
    <col min="7" max="7" width="0.140625" style="33" hidden="1" customWidth="1"/>
    <col min="8" max="8" width="25.28515625" style="33" customWidth="1"/>
    <col min="9" max="9" width="9.7109375" style="33" customWidth="1"/>
    <col min="10" max="10" width="8.140625" style="33" customWidth="1"/>
    <col min="11" max="11" width="8.7109375" style="33" customWidth="1"/>
    <col min="12" max="12" width="8.85546875" style="33" hidden="1" customWidth="1"/>
    <col min="13" max="13" width="7.7109375" style="33" customWidth="1"/>
    <col min="14" max="14" width="8" style="2" customWidth="1"/>
    <col min="15" max="15" width="9.140625" style="2"/>
    <col min="16" max="16" width="19.7109375" style="2" customWidth="1"/>
    <col min="17" max="26" width="9.140625" style="2"/>
    <col min="27" max="34" width="30.7109375" style="2" customWidth="1"/>
    <col min="35" max="35" width="31.5703125" style="2" customWidth="1"/>
    <col min="36" max="16384" width="9.140625" style="2"/>
  </cols>
  <sheetData>
    <row r="1" spans="1:14" s="1" customFormat="1" x14ac:dyDescent="0.2">
      <c r="A1" s="15"/>
      <c r="B1" s="20"/>
      <c r="C1" s="15"/>
      <c r="E1" s="21"/>
      <c r="F1" s="62" t="s">
        <v>162</v>
      </c>
      <c r="G1" s="21"/>
      <c r="H1" s="22"/>
      <c r="I1" s="15"/>
      <c r="J1" s="15"/>
      <c r="K1" s="15"/>
      <c r="L1" s="15"/>
      <c r="M1" s="15"/>
    </row>
    <row r="2" spans="1:14" s="1" customFormat="1" x14ac:dyDescent="0.2">
      <c r="A2" s="8" t="s">
        <v>5</v>
      </c>
      <c r="B2" s="20"/>
      <c r="D2" s="22"/>
      <c r="F2" s="23" t="s">
        <v>1</v>
      </c>
      <c r="G2" s="23"/>
      <c r="J2" s="8"/>
      <c r="L2" s="8"/>
      <c r="M2" s="15"/>
      <c r="N2" s="24" t="s">
        <v>6</v>
      </c>
    </row>
    <row r="3" spans="1:14" s="1" customFormat="1" x14ac:dyDescent="0.2">
      <c r="A3" s="25" t="s">
        <v>7</v>
      </c>
      <c r="E3" s="15"/>
      <c r="F3" s="15"/>
      <c r="G3" s="15"/>
      <c r="H3" s="15"/>
      <c r="J3" s="8"/>
      <c r="L3" s="8"/>
      <c r="M3" s="15"/>
      <c r="N3" s="26" t="s">
        <v>0</v>
      </c>
    </row>
    <row r="4" spans="1:14" s="1" customFormat="1" ht="51" customHeight="1" x14ac:dyDescent="0.2">
      <c r="A4" s="65" t="s">
        <v>25</v>
      </c>
      <c r="B4" s="65"/>
      <c r="C4" s="65"/>
      <c r="F4" s="27" t="s">
        <v>26</v>
      </c>
      <c r="G4" s="15"/>
      <c r="I4" s="66" t="s">
        <v>25</v>
      </c>
      <c r="J4" s="66"/>
      <c r="K4" s="66"/>
      <c r="L4" s="66"/>
      <c r="M4" s="66"/>
      <c r="N4" s="66"/>
    </row>
    <row r="5" spans="1:14" s="1" customFormat="1" x14ac:dyDescent="0.2">
      <c r="A5" s="15"/>
      <c r="B5" s="15"/>
      <c r="C5" s="15"/>
      <c r="F5" s="15" t="s">
        <v>2</v>
      </c>
      <c r="G5" s="15"/>
      <c r="I5" s="15"/>
      <c r="J5" s="15"/>
      <c r="K5" s="15"/>
      <c r="L5" s="15"/>
      <c r="M5" s="15"/>
    </row>
    <row r="6" spans="1:14" s="1" customFormat="1" x14ac:dyDescent="0.2">
      <c r="A6" s="15"/>
      <c r="B6" s="15"/>
      <c r="C6" s="15"/>
      <c r="E6" s="15"/>
      <c r="F6" s="15"/>
      <c r="G6" s="15"/>
      <c r="H6" s="15"/>
      <c r="I6" s="15"/>
      <c r="J6" s="15"/>
      <c r="K6" s="15"/>
      <c r="L6" s="15"/>
      <c r="M6" s="15"/>
    </row>
    <row r="7" spans="1:14" s="1" customFormat="1" x14ac:dyDescent="0.2">
      <c r="A7" s="15"/>
      <c r="B7" s="15"/>
      <c r="C7" s="28"/>
      <c r="D7" s="63" t="s">
        <v>161</v>
      </c>
      <c r="E7" s="29"/>
      <c r="F7" s="29"/>
      <c r="G7" s="29"/>
      <c r="H7" s="29"/>
      <c r="I7" s="30"/>
      <c r="J7" s="30"/>
      <c r="K7" s="30"/>
      <c r="L7" s="30"/>
      <c r="M7" s="15"/>
    </row>
    <row r="8" spans="1:14" s="1" customFormat="1" x14ac:dyDescent="0.2">
      <c r="A8" s="15"/>
      <c r="B8" s="15"/>
      <c r="C8" s="15"/>
      <c r="D8" s="31" t="s">
        <v>21</v>
      </c>
      <c r="E8" s="23"/>
      <c r="F8" s="23"/>
      <c r="G8" s="23"/>
      <c r="I8" s="30"/>
      <c r="J8" s="30"/>
      <c r="K8" s="30"/>
      <c r="L8" s="30"/>
      <c r="M8" s="15"/>
    </row>
    <row r="9" spans="1:14" s="1" customFormat="1" ht="7.5" customHeight="1" x14ac:dyDescent="0.2">
      <c r="A9" s="32"/>
      <c r="B9" s="32"/>
      <c r="C9" s="15"/>
      <c r="E9" s="15"/>
      <c r="F9" s="15"/>
      <c r="G9" s="15"/>
      <c r="H9" s="15"/>
      <c r="I9" s="15"/>
      <c r="J9" s="15"/>
      <c r="M9" s="15"/>
    </row>
    <row r="10" spans="1:14" x14ac:dyDescent="0.2">
      <c r="A10" s="73" t="s">
        <v>27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2">
      <c r="A11" s="6" t="s">
        <v>10</v>
      </c>
      <c r="B11" s="7"/>
      <c r="C11" s="74">
        <v>335338</v>
      </c>
      <c r="D11" s="74"/>
      <c r="E11" s="74"/>
      <c r="F11" s="8" t="s">
        <v>9</v>
      </c>
      <c r="G11" s="9"/>
      <c r="H11" s="9"/>
      <c r="I11" s="9"/>
      <c r="J11" s="9"/>
    </row>
    <row r="12" spans="1:14" x14ac:dyDescent="0.2">
      <c r="A12" s="6" t="s">
        <v>20</v>
      </c>
      <c r="B12" s="7"/>
      <c r="C12" s="10"/>
      <c r="D12" s="75">
        <v>75176</v>
      </c>
      <c r="E12" s="75"/>
      <c r="F12" s="8" t="s">
        <v>9</v>
      </c>
      <c r="G12" s="9"/>
      <c r="H12" s="9"/>
      <c r="I12" s="9"/>
      <c r="J12" s="71" t="s">
        <v>163</v>
      </c>
      <c r="K12" s="72"/>
      <c r="L12" s="72"/>
      <c r="M12" s="72"/>
      <c r="N12" s="97"/>
    </row>
    <row r="13" spans="1:14" x14ac:dyDescent="0.2">
      <c r="A13" s="61" t="s">
        <v>160</v>
      </c>
      <c r="B13" s="2"/>
      <c r="C13" s="11"/>
      <c r="D13" s="12"/>
      <c r="E13" s="13"/>
      <c r="F13" s="34"/>
      <c r="G13" s="14"/>
      <c r="H13" s="14"/>
      <c r="I13" s="9"/>
      <c r="J13" s="72"/>
      <c r="K13" s="72"/>
      <c r="L13" s="72"/>
      <c r="M13" s="72"/>
      <c r="N13" s="97"/>
    </row>
    <row r="14" spans="1:14" ht="11.25" customHeight="1" x14ac:dyDescent="0.2">
      <c r="A14" s="15"/>
      <c r="B14" s="8"/>
      <c r="C14" s="8"/>
      <c r="D14" s="15"/>
      <c r="E14" s="9"/>
      <c r="F14" s="9"/>
      <c r="G14" s="9"/>
      <c r="H14" s="10"/>
      <c r="I14" s="9"/>
      <c r="J14" s="9"/>
      <c r="K14" s="9"/>
      <c r="L14" s="9"/>
      <c r="M14" s="9"/>
      <c r="N14" s="2" t="s">
        <v>9</v>
      </c>
    </row>
    <row r="15" spans="1:14" ht="12.75" customHeight="1" x14ac:dyDescent="0.2">
      <c r="A15" s="69" t="s">
        <v>3</v>
      </c>
      <c r="B15" s="69" t="s">
        <v>17</v>
      </c>
      <c r="C15" s="67" t="s">
        <v>22</v>
      </c>
      <c r="D15" s="67" t="s">
        <v>18</v>
      </c>
      <c r="E15" s="80" t="s">
        <v>23</v>
      </c>
      <c r="F15" s="81"/>
      <c r="G15" s="82"/>
      <c r="H15" s="67" t="s">
        <v>4</v>
      </c>
      <c r="I15" s="80" t="s">
        <v>24</v>
      </c>
      <c r="J15" s="86"/>
      <c r="K15" s="86"/>
      <c r="L15" s="77"/>
      <c r="M15" s="76" t="s">
        <v>19</v>
      </c>
      <c r="N15" s="77"/>
    </row>
    <row r="16" spans="1:14" s="4" customFormat="1" ht="38.25" customHeight="1" x14ac:dyDescent="0.2">
      <c r="A16" s="70"/>
      <c r="B16" s="70"/>
      <c r="C16" s="70"/>
      <c r="D16" s="70"/>
      <c r="E16" s="83"/>
      <c r="F16" s="84"/>
      <c r="G16" s="85"/>
      <c r="H16" s="70"/>
      <c r="I16" s="78"/>
      <c r="J16" s="87"/>
      <c r="K16" s="87"/>
      <c r="L16" s="79"/>
      <c r="M16" s="78"/>
      <c r="N16" s="79"/>
    </row>
    <row r="17" spans="1:35" s="4" customFormat="1" ht="12.75" customHeight="1" x14ac:dyDescent="0.2">
      <c r="A17" s="70"/>
      <c r="B17" s="70"/>
      <c r="C17" s="70"/>
      <c r="D17" s="70"/>
      <c r="E17" s="35" t="s">
        <v>12</v>
      </c>
      <c r="F17" s="35" t="s">
        <v>14</v>
      </c>
      <c r="G17" s="67" t="s">
        <v>16</v>
      </c>
      <c r="H17" s="70"/>
      <c r="I17" s="67" t="s">
        <v>12</v>
      </c>
      <c r="J17" s="67" t="s">
        <v>15</v>
      </c>
      <c r="K17" s="35" t="s">
        <v>14</v>
      </c>
      <c r="L17" s="67" t="s">
        <v>16</v>
      </c>
      <c r="M17" s="69" t="s">
        <v>8</v>
      </c>
      <c r="N17" s="67" t="s">
        <v>12</v>
      </c>
    </row>
    <row r="18" spans="1:35" s="4" customFormat="1" ht="11.25" customHeight="1" x14ac:dyDescent="0.2">
      <c r="A18" s="68"/>
      <c r="B18" s="68"/>
      <c r="C18" s="68"/>
      <c r="D18" s="68"/>
      <c r="E18" s="36" t="s">
        <v>11</v>
      </c>
      <c r="F18" s="35" t="s">
        <v>13</v>
      </c>
      <c r="G18" s="68"/>
      <c r="H18" s="68"/>
      <c r="I18" s="68"/>
      <c r="J18" s="68"/>
      <c r="K18" s="35" t="s">
        <v>13</v>
      </c>
      <c r="L18" s="68"/>
      <c r="M18" s="68"/>
      <c r="N18" s="68"/>
    </row>
    <row r="19" spans="1:35" x14ac:dyDescent="0.2">
      <c r="A19" s="40">
        <v>1</v>
      </c>
      <c r="B19" s="40">
        <v>2</v>
      </c>
      <c r="C19" s="40">
        <v>3</v>
      </c>
      <c r="D19" s="40">
        <v>4</v>
      </c>
      <c r="E19" s="40">
        <v>5</v>
      </c>
      <c r="F19" s="40">
        <v>6</v>
      </c>
      <c r="G19" s="40">
        <v>7</v>
      </c>
      <c r="H19" s="40">
        <v>7</v>
      </c>
      <c r="I19" s="40">
        <v>8</v>
      </c>
      <c r="J19" s="40">
        <v>9</v>
      </c>
      <c r="K19" s="40">
        <v>10</v>
      </c>
      <c r="L19" s="40">
        <v>12</v>
      </c>
      <c r="M19" s="40">
        <v>11</v>
      </c>
      <c r="N19" s="40">
        <v>12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1"/>
      <c r="AB19" s="42"/>
      <c r="AC19" s="42"/>
      <c r="AD19" s="42"/>
      <c r="AE19" s="42"/>
      <c r="AF19" s="43"/>
      <c r="AG19" s="42"/>
      <c r="AH19" s="42"/>
      <c r="AI19" s="42"/>
    </row>
    <row r="20" spans="1:35" ht="21" customHeight="1" x14ac:dyDescent="0.2">
      <c r="A20" s="90" t="s">
        <v>29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</row>
    <row r="21" spans="1:35" ht="102" x14ac:dyDescent="0.2">
      <c r="A21" s="44">
        <v>1</v>
      </c>
      <c r="B21" s="45" t="s">
        <v>30</v>
      </c>
      <c r="C21" s="46" t="str">
        <f t="shared" ref="C21:C26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Проводник заземляющий открыто по строительным основаниям: из круглой стали диаметром 8 мм сетка под кровлей
100 м
6596 руб. НР 81%=95%*0,85 от ФОТ (8143 руб.)
4234 руб.СП 52%=65%*0,8 от ФОТ (8143 руб.)
</v>
      </c>
      <c r="D21" s="44">
        <v>2.6</v>
      </c>
      <c r="E21" s="47" t="s">
        <v>31</v>
      </c>
      <c r="F21" s="47" t="s">
        <v>32</v>
      </c>
      <c r="G21" s="47">
        <v>301.01</v>
      </c>
      <c r="H21" s="48" t="s">
        <v>33</v>
      </c>
      <c r="I21" s="49">
        <v>12034</v>
      </c>
      <c r="J21" s="47">
        <v>8077</v>
      </c>
      <c r="K21" s="47" t="s">
        <v>34</v>
      </c>
      <c r="L21" s="47" t="str">
        <f>IF(2.6*301.01=0," ",TEXT(,ROUND((2.6*301.01*3.63),2)))</f>
        <v>2840.93</v>
      </c>
      <c r="M21" s="47" t="s">
        <v>35</v>
      </c>
      <c r="N21" s="47" t="s">
        <v>36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 t="s">
        <v>37</v>
      </c>
      <c r="AB21" s="51" t="s">
        <v>38</v>
      </c>
      <c r="AC21" s="51">
        <v>6596</v>
      </c>
      <c r="AD21" s="51">
        <v>4234</v>
      </c>
      <c r="AE21" s="51"/>
      <c r="AF21" s="52" t="s">
        <v>39</v>
      </c>
      <c r="AG21" s="51" t="s">
        <v>40</v>
      </c>
      <c r="AH21" s="51"/>
      <c r="AI21" s="51">
        <f>8077+66</f>
        <v>8143</v>
      </c>
    </row>
    <row r="22" spans="1:35" ht="63.75" x14ac:dyDescent="0.2">
      <c r="A22" s="44">
        <v>2</v>
      </c>
      <c r="B22" s="45" t="s">
        <v>41</v>
      </c>
      <c r="C22" s="46" t="str">
        <f t="shared" ca="1" si="0"/>
        <v xml:space="preserve">Сталь листовая углеродистая обыкновенного качества марки ВСт3пс5 толщиной: 4-6 мм
т
</v>
      </c>
      <c r="D22" s="44">
        <v>-0.104</v>
      </c>
      <c r="E22" s="47">
        <v>5763</v>
      </c>
      <c r="F22" s="47"/>
      <c r="G22" s="47">
        <v>5763</v>
      </c>
      <c r="H22" s="48" t="s">
        <v>42</v>
      </c>
      <c r="I22" s="49">
        <v>-3153</v>
      </c>
      <c r="J22" s="47"/>
      <c r="K22" s="47"/>
      <c r="L22" s="47" t="str">
        <f>IF(-0.104*5763=0," ",TEXT(,ROUND((-0.104*5763*5.264),2)))</f>
        <v>-3154.99</v>
      </c>
      <c r="M22" s="47"/>
      <c r="N22" s="47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  <c r="AB22" s="51"/>
      <c r="AC22" s="51"/>
      <c r="AD22" s="51"/>
      <c r="AE22" s="51"/>
      <c r="AF22" s="52" t="s">
        <v>43</v>
      </c>
      <c r="AG22" s="51" t="s">
        <v>44</v>
      </c>
      <c r="AH22" s="51"/>
      <c r="AI22" s="51">
        <f>0+0</f>
        <v>0</v>
      </c>
    </row>
    <row r="23" spans="1:35" ht="102" x14ac:dyDescent="0.2">
      <c r="A23" s="44">
        <v>3</v>
      </c>
      <c r="B23" s="45" t="s">
        <v>30</v>
      </c>
      <c r="C23" s="46" t="str">
        <f t="shared" ca="1" si="0"/>
        <v xml:space="preserve">Проводник заземляющий открыто по строительным основаниям: из круглой стали диаметром 8 мм
100 м
3851 руб. НР 81%=95%*0,85 от ФОТ (4754 руб.)
2472 руб.СП 52%=65%*0,8 от ФОТ (4754 руб.)
</v>
      </c>
      <c r="D23" s="44">
        <v>1.52</v>
      </c>
      <c r="E23" s="47" t="s">
        <v>31</v>
      </c>
      <c r="F23" s="47" t="s">
        <v>32</v>
      </c>
      <c r="G23" s="47">
        <v>301.01</v>
      </c>
      <c r="H23" s="48" t="s">
        <v>33</v>
      </c>
      <c r="I23" s="49">
        <v>7033</v>
      </c>
      <c r="J23" s="47">
        <v>4721</v>
      </c>
      <c r="K23" s="47" t="s">
        <v>45</v>
      </c>
      <c r="L23" s="47" t="str">
        <f>IF(1.52*301.01=0," ",TEXT(,ROUND((1.52*301.01*3.63),2)))</f>
        <v>1660.85</v>
      </c>
      <c r="M23" s="47" t="s">
        <v>35</v>
      </c>
      <c r="N23" s="47" t="s">
        <v>46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 t="s">
        <v>37</v>
      </c>
      <c r="AB23" s="51" t="s">
        <v>38</v>
      </c>
      <c r="AC23" s="51">
        <v>3851</v>
      </c>
      <c r="AD23" s="51">
        <v>2472</v>
      </c>
      <c r="AE23" s="51"/>
      <c r="AF23" s="52" t="s">
        <v>47</v>
      </c>
      <c r="AG23" s="51" t="s">
        <v>40</v>
      </c>
      <c r="AH23" s="51"/>
      <c r="AI23" s="51">
        <f>4721+33</f>
        <v>4754</v>
      </c>
    </row>
    <row r="24" spans="1:35" ht="63.75" x14ac:dyDescent="0.2">
      <c r="A24" s="44">
        <v>4</v>
      </c>
      <c r="B24" s="45" t="s">
        <v>41</v>
      </c>
      <c r="C24" s="46" t="str">
        <f t="shared" ca="1" si="0"/>
        <v xml:space="preserve">Сталь листовая углеродистая обыкновенного качества марки ВСт3пс5 толщиной: 4-6 мм
т
</v>
      </c>
      <c r="D24" s="44">
        <v>-6.08E-2</v>
      </c>
      <c r="E24" s="47">
        <v>5763</v>
      </c>
      <c r="F24" s="47"/>
      <c r="G24" s="47">
        <v>5763</v>
      </c>
      <c r="H24" s="48" t="s">
        <v>42</v>
      </c>
      <c r="I24" s="49">
        <v>-1842</v>
      </c>
      <c r="J24" s="47"/>
      <c r="K24" s="47"/>
      <c r="L24" s="47" t="str">
        <f>IF(-0.0608*5763=0," ",TEXT(,ROUND((-0.0608*5763*5.264),2)))</f>
        <v>-1844.46</v>
      </c>
      <c r="M24" s="47"/>
      <c r="N24" s="47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1"/>
      <c r="AC24" s="51"/>
      <c r="AD24" s="51"/>
      <c r="AE24" s="51"/>
      <c r="AF24" s="52" t="s">
        <v>43</v>
      </c>
      <c r="AG24" s="51" t="s">
        <v>44</v>
      </c>
      <c r="AH24" s="51"/>
      <c r="AI24" s="51">
        <f>0+0</f>
        <v>0</v>
      </c>
    </row>
    <row r="25" spans="1:35" ht="89.25" x14ac:dyDescent="0.2">
      <c r="A25" s="44">
        <v>5</v>
      </c>
      <c r="B25" s="45" t="s">
        <v>48</v>
      </c>
      <c r="C25" s="46" t="str">
        <f t="shared" ca="1" si="0"/>
        <v xml:space="preserve">Проводник заземляющий скрыто в земле из стали: круглой диаметром 12 мм
100 м
4504 руб. НР 81%=95%*0,85 от ФОТ (5560 руб.)
2891 руб.СП 52%=65%*0,8 от ФОТ (5560 руб.)
</v>
      </c>
      <c r="D25" s="44">
        <v>1.9350000000000001</v>
      </c>
      <c r="E25" s="47" t="s">
        <v>49</v>
      </c>
      <c r="F25" s="47" t="s">
        <v>50</v>
      </c>
      <c r="G25" s="47">
        <v>41.16</v>
      </c>
      <c r="H25" s="48" t="s">
        <v>51</v>
      </c>
      <c r="I25" s="49">
        <v>8612</v>
      </c>
      <c r="J25" s="47">
        <v>5330</v>
      </c>
      <c r="K25" s="47" t="s">
        <v>52</v>
      </c>
      <c r="L25" s="47" t="str">
        <f>IF(1.935*41.16=0," ",TEXT(,ROUND((1.935*41.16*3.65),2)))</f>
        <v>290.7</v>
      </c>
      <c r="M25" s="47" t="s">
        <v>53</v>
      </c>
      <c r="N25" s="47" t="s">
        <v>54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 t="s">
        <v>37</v>
      </c>
      <c r="AB25" s="51" t="s">
        <v>38</v>
      </c>
      <c r="AC25" s="51">
        <v>4504</v>
      </c>
      <c r="AD25" s="51">
        <v>2891</v>
      </c>
      <c r="AE25" s="51"/>
      <c r="AF25" s="52" t="s">
        <v>55</v>
      </c>
      <c r="AG25" s="51" t="s">
        <v>40</v>
      </c>
      <c r="AH25" s="51"/>
      <c r="AI25" s="51">
        <f>5330+230</f>
        <v>5560</v>
      </c>
    </row>
    <row r="26" spans="1:35" ht="165.75" x14ac:dyDescent="0.2">
      <c r="A26" s="53">
        <v>6</v>
      </c>
      <c r="B26" s="54" t="s">
        <v>56</v>
      </c>
      <c r="C26" s="55" t="str">
        <f t="shared" ca="1" si="0"/>
        <v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
1 антенна
12638 руб. НР 78%=92%*0,85 от ФОТ (16203 руб.)
8426 руб.СП 52%=65%*0,8 от ФОТ (16203 руб.)
</v>
      </c>
      <c r="D26" s="53">
        <v>4</v>
      </c>
      <c r="E26" s="56" t="s">
        <v>57</v>
      </c>
      <c r="F26" s="56"/>
      <c r="G26" s="56">
        <v>4.93</v>
      </c>
      <c r="H26" s="57" t="s">
        <v>58</v>
      </c>
      <c r="I26" s="58">
        <v>16315</v>
      </c>
      <c r="J26" s="56">
        <v>16203</v>
      </c>
      <c r="K26" s="56"/>
      <c r="L26" s="56" t="str">
        <f>IF(4*4.93=0," ",TEXT(,ROUND((4*4.93*5.58),2)))</f>
        <v>110.04</v>
      </c>
      <c r="M26" s="56">
        <v>23.8</v>
      </c>
      <c r="N26" s="56">
        <v>95.2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 t="s">
        <v>59</v>
      </c>
      <c r="AB26" s="51" t="s">
        <v>38</v>
      </c>
      <c r="AC26" s="51">
        <v>12638</v>
      </c>
      <c r="AD26" s="51">
        <v>8426</v>
      </c>
      <c r="AE26" s="51"/>
      <c r="AF26" s="52" t="s">
        <v>60</v>
      </c>
      <c r="AG26" s="51" t="s">
        <v>61</v>
      </c>
      <c r="AH26" s="51"/>
      <c r="AI26" s="51">
        <f>16203+0</f>
        <v>16203</v>
      </c>
    </row>
    <row r="27" spans="1:35" ht="25.5" x14ac:dyDescent="0.2">
      <c r="A27" s="92" t="s">
        <v>62</v>
      </c>
      <c r="B27" s="93"/>
      <c r="C27" s="93"/>
      <c r="D27" s="93"/>
      <c r="E27" s="93"/>
      <c r="F27" s="93"/>
      <c r="G27" s="93"/>
      <c r="H27" s="93"/>
      <c r="I27" s="49">
        <v>3039</v>
      </c>
      <c r="J27" s="47">
        <v>2087</v>
      </c>
      <c r="K27" s="47" t="s">
        <v>63</v>
      </c>
      <c r="L27" s="47">
        <v>392</v>
      </c>
      <c r="M27" s="47"/>
      <c r="N27" s="47" t="s">
        <v>64</v>
      </c>
      <c r="O27" s="18"/>
      <c r="P27" s="19"/>
      <c r="Q27" s="18"/>
      <c r="R27" s="18"/>
      <c r="S27" s="18"/>
      <c r="T27" s="18"/>
      <c r="U27" s="18"/>
      <c r="V27" s="18"/>
      <c r="W27" s="18"/>
      <c r="X27" s="18"/>
      <c r="Y27" s="18"/>
      <c r="Z27" s="18"/>
      <c r="AF27" s="4"/>
    </row>
    <row r="28" spans="1:35" ht="25.5" x14ac:dyDescent="0.2">
      <c r="A28" s="92" t="s">
        <v>65</v>
      </c>
      <c r="B28" s="93"/>
      <c r="C28" s="93"/>
      <c r="D28" s="93"/>
      <c r="E28" s="93"/>
      <c r="F28" s="93"/>
      <c r="G28" s="93"/>
      <c r="H28" s="93"/>
      <c r="I28" s="49">
        <v>38998</v>
      </c>
      <c r="J28" s="47">
        <v>34331</v>
      </c>
      <c r="K28" s="47" t="s">
        <v>66</v>
      </c>
      <c r="L28" s="47">
        <v>-87</v>
      </c>
      <c r="M28" s="47"/>
      <c r="N28" s="47" t="s">
        <v>64</v>
      </c>
      <c r="O28" s="18"/>
      <c r="P28" s="19"/>
      <c r="Q28" s="18"/>
      <c r="R28" s="18"/>
      <c r="S28" s="18"/>
      <c r="T28" s="18"/>
      <c r="U28" s="18"/>
      <c r="V28" s="18"/>
      <c r="W28" s="18"/>
      <c r="X28" s="18"/>
      <c r="Y28" s="18"/>
      <c r="Z28" s="18"/>
      <c r="AF28" s="4"/>
    </row>
    <row r="29" spans="1:35" x14ac:dyDescent="0.2">
      <c r="A29" s="92" t="s">
        <v>67</v>
      </c>
      <c r="B29" s="93"/>
      <c r="C29" s="93"/>
      <c r="D29" s="93"/>
      <c r="E29" s="93"/>
      <c r="F29" s="93"/>
      <c r="G29" s="93"/>
      <c r="H29" s="93"/>
      <c r="I29" s="49">
        <v>27588</v>
      </c>
      <c r="J29" s="47"/>
      <c r="K29" s="47"/>
      <c r="L29" s="47"/>
      <c r="M29" s="47"/>
      <c r="N29" s="47"/>
      <c r="O29" s="18"/>
      <c r="P29" s="19"/>
      <c r="Q29" s="18"/>
      <c r="R29" s="18"/>
      <c r="S29" s="18"/>
      <c r="T29" s="5"/>
      <c r="U29" s="5"/>
      <c r="V29" s="5"/>
      <c r="W29" s="5"/>
      <c r="X29" s="5"/>
      <c r="Y29" s="5"/>
      <c r="Z29" s="5"/>
    </row>
    <row r="30" spans="1:35" x14ac:dyDescent="0.2">
      <c r="A30" s="92" t="s">
        <v>68</v>
      </c>
      <c r="B30" s="93"/>
      <c r="C30" s="93"/>
      <c r="D30" s="93"/>
      <c r="E30" s="93"/>
      <c r="F30" s="93"/>
      <c r="G30" s="93"/>
      <c r="H30" s="93"/>
      <c r="I30" s="49">
        <v>18024</v>
      </c>
      <c r="J30" s="47"/>
      <c r="K30" s="47"/>
      <c r="L30" s="47"/>
      <c r="M30" s="47"/>
      <c r="N30" s="47"/>
      <c r="O30" s="18"/>
      <c r="P30" s="19"/>
      <c r="Q30" s="18"/>
      <c r="R30" s="18"/>
      <c r="S30" s="18"/>
    </row>
    <row r="31" spans="1:35" ht="25.5" x14ac:dyDescent="0.2">
      <c r="A31" s="88" t="s">
        <v>69</v>
      </c>
      <c r="B31" s="89"/>
      <c r="C31" s="89"/>
      <c r="D31" s="89"/>
      <c r="E31" s="89"/>
      <c r="F31" s="89"/>
      <c r="G31" s="89"/>
      <c r="H31" s="89"/>
      <c r="I31" s="58">
        <v>84610</v>
      </c>
      <c r="J31" s="56"/>
      <c r="K31" s="56"/>
      <c r="L31" s="56"/>
      <c r="M31" s="56"/>
      <c r="N31" s="56" t="s">
        <v>64</v>
      </c>
      <c r="O31" s="18"/>
      <c r="P31" s="19"/>
      <c r="Q31" s="18"/>
      <c r="R31" s="18"/>
      <c r="S31" s="18"/>
    </row>
    <row r="32" spans="1:35" ht="21" customHeight="1" x14ac:dyDescent="0.2">
      <c r="A32" s="90" t="s">
        <v>70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</row>
    <row r="33" spans="1:35" ht="102" x14ac:dyDescent="0.2">
      <c r="A33" s="44">
        <v>7</v>
      </c>
      <c r="B33" s="45" t="s">
        <v>71</v>
      </c>
      <c r="C33" s="46" t="str">
        <f t="shared" ref="C33:C42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и оснований: асфальтобетонных с помощью молотков отбойных
100 м3 конструкций
5950 руб. НР 88%=104%*0,85 от ФОТ (6761 руб.)
3245 руб.СП 48%=60%*0,8 от ФОТ (6761 руб.)
</v>
      </c>
      <c r="D33" s="44">
        <v>0.16800000000000001</v>
      </c>
      <c r="E33" s="47" t="s">
        <v>72</v>
      </c>
      <c r="F33" s="47" t="s">
        <v>73</v>
      </c>
      <c r="G33" s="47"/>
      <c r="H33" s="48" t="s">
        <v>74</v>
      </c>
      <c r="I33" s="49">
        <v>11515</v>
      </c>
      <c r="J33" s="47">
        <v>5593</v>
      </c>
      <c r="K33" s="47" t="s">
        <v>75</v>
      </c>
      <c r="L33" s="47" t="str">
        <f>IF(0.168*0=0," ",TEXT(,ROUND((0.168*0*1),2)))</f>
        <v xml:space="preserve"> </v>
      </c>
      <c r="M33" s="47" t="s">
        <v>76</v>
      </c>
      <c r="N33" s="47" t="s">
        <v>77</v>
      </c>
      <c r="O33" s="50"/>
      <c r="P33" s="50"/>
      <c r="Q33" s="50"/>
      <c r="R33" s="50"/>
      <c r="S33" s="50"/>
      <c r="T33" s="51"/>
      <c r="U33" s="51"/>
      <c r="V33" s="51"/>
      <c r="W33" s="51"/>
      <c r="X33" s="51"/>
      <c r="Y33" s="51"/>
      <c r="Z33" s="51"/>
      <c r="AA33" s="51" t="s">
        <v>78</v>
      </c>
      <c r="AB33" s="51" t="s">
        <v>79</v>
      </c>
      <c r="AC33" s="51">
        <v>5950</v>
      </c>
      <c r="AD33" s="51">
        <v>3245</v>
      </c>
      <c r="AE33" s="51"/>
      <c r="AF33" s="51" t="s">
        <v>80</v>
      </c>
      <c r="AG33" s="51" t="s">
        <v>81</v>
      </c>
      <c r="AH33" s="51"/>
      <c r="AI33" s="51">
        <f>5593+1168</f>
        <v>6761</v>
      </c>
    </row>
    <row r="34" spans="1:35" ht="127.5" x14ac:dyDescent="0.2">
      <c r="A34" s="44">
        <v>8</v>
      </c>
      <c r="B34" s="45" t="s">
        <v>82</v>
      </c>
      <c r="C34" s="46" t="str">
        <f t="shared" ca="1" si="1"/>
        <v xml:space="preserve">Разработка грунта вручную в траншеях глубиной до 2 м без креплений с откосами, группа грунтов: 2
100 м3 грунта
5308 руб. НР 61%=80%*(0,85*0,9) от ФОТ (8702 руб.)
2698 руб.СП 31%=45%*(0,8*0,85) от ФОТ (8702 руб.)
</v>
      </c>
      <c r="D34" s="44">
        <v>0.44</v>
      </c>
      <c r="E34" s="47" t="s">
        <v>83</v>
      </c>
      <c r="F34" s="47"/>
      <c r="G34" s="47"/>
      <c r="H34" s="48" t="s">
        <v>84</v>
      </c>
      <c r="I34" s="49">
        <v>8702</v>
      </c>
      <c r="J34" s="47">
        <v>8702</v>
      </c>
      <c r="K34" s="47"/>
      <c r="L34" s="47" t="str">
        <f>IF(0.44*0=0," ",TEXT(,ROUND((0.44*0*1),2)))</f>
        <v xml:space="preserve"> </v>
      </c>
      <c r="M34" s="47">
        <v>154</v>
      </c>
      <c r="N34" s="47">
        <v>67.760000000000005</v>
      </c>
      <c r="O34" s="50"/>
      <c r="P34" s="50"/>
      <c r="Q34" s="50"/>
      <c r="R34" s="50"/>
      <c r="S34" s="50"/>
      <c r="T34" s="51"/>
      <c r="U34" s="51"/>
      <c r="V34" s="51"/>
      <c r="W34" s="51"/>
      <c r="X34" s="51"/>
      <c r="Y34" s="51"/>
      <c r="Z34" s="51"/>
      <c r="AA34" s="51" t="s">
        <v>85</v>
      </c>
      <c r="AB34" s="51" t="s">
        <v>86</v>
      </c>
      <c r="AC34" s="51">
        <v>5308</v>
      </c>
      <c r="AD34" s="51">
        <v>2698</v>
      </c>
      <c r="AE34" s="51"/>
      <c r="AF34" s="51" t="s">
        <v>87</v>
      </c>
      <c r="AG34" s="51" t="s">
        <v>88</v>
      </c>
      <c r="AH34" s="51"/>
      <c r="AI34" s="51">
        <f>8702+0</f>
        <v>8702</v>
      </c>
    </row>
    <row r="35" spans="1:35" ht="114.75" x14ac:dyDescent="0.2">
      <c r="A35" s="44">
        <v>9</v>
      </c>
      <c r="B35" s="45" t="s">
        <v>89</v>
      </c>
      <c r="C35" s="46" t="str">
        <f t="shared" ca="1" si="1"/>
        <v xml:space="preserve">Засыпка вручную траншей, пазух котлованов и ям, группа грунтов: 1
100 м3 грунта
2930 руб. НР 61%=80%*(0,85*0,9) от ФОТ (4803 руб.)
1489 руб.СП 31%=45%*(0,8*0,85) от ФОТ (4803 руб.)
</v>
      </c>
      <c r="D35" s="44">
        <v>0.44</v>
      </c>
      <c r="E35" s="47" t="s">
        <v>90</v>
      </c>
      <c r="F35" s="47"/>
      <c r="G35" s="47"/>
      <c r="H35" s="48" t="s">
        <v>91</v>
      </c>
      <c r="I35" s="49">
        <v>4803</v>
      </c>
      <c r="J35" s="47">
        <v>4803</v>
      </c>
      <c r="K35" s="47"/>
      <c r="L35" s="47" t="str">
        <f>IF(0.44*0=0," ",TEXT(,ROUND((0.44*0*1),2)))</f>
        <v xml:space="preserve"> </v>
      </c>
      <c r="M35" s="47">
        <v>88.5</v>
      </c>
      <c r="N35" s="47">
        <v>38.94</v>
      </c>
      <c r="O35" s="50"/>
      <c r="P35" s="50"/>
      <c r="Q35" s="50"/>
      <c r="R35" s="50"/>
      <c r="S35" s="50"/>
      <c r="T35" s="51"/>
      <c r="U35" s="51"/>
      <c r="V35" s="51"/>
      <c r="W35" s="51"/>
      <c r="X35" s="51"/>
      <c r="Y35" s="51"/>
      <c r="Z35" s="51"/>
      <c r="AA35" s="51" t="s">
        <v>85</v>
      </c>
      <c r="AB35" s="51" t="s">
        <v>86</v>
      </c>
      <c r="AC35" s="51">
        <v>2930</v>
      </c>
      <c r="AD35" s="51">
        <v>1489</v>
      </c>
      <c r="AE35" s="51"/>
      <c r="AF35" s="51" t="s">
        <v>92</v>
      </c>
      <c r="AG35" s="51" t="s">
        <v>88</v>
      </c>
      <c r="AH35" s="51"/>
      <c r="AI35" s="51">
        <f>4803+0</f>
        <v>4803</v>
      </c>
    </row>
    <row r="36" spans="1:35" ht="114.75" x14ac:dyDescent="0.2">
      <c r="A36" s="44">
        <v>10</v>
      </c>
      <c r="B36" s="45" t="s">
        <v>93</v>
      </c>
      <c r="C36" s="46" t="str">
        <f t="shared" ca="1" si="1"/>
        <v xml:space="preserve">Устройство основания под фундаменты: песчаного
1 м3 основания
9347 руб. НР 93%=122%*(0,85*0,9) от ФОТ (10051 руб.)
5428 руб.СП 54%=80%*(0,8*0,85) от ФОТ (10051 руб.)
</v>
      </c>
      <c r="D36" s="44">
        <v>28</v>
      </c>
      <c r="E36" s="47" t="s">
        <v>94</v>
      </c>
      <c r="F36" s="47" t="s">
        <v>95</v>
      </c>
      <c r="G36" s="47">
        <v>72.349999999999994</v>
      </c>
      <c r="H36" s="48" t="s">
        <v>96</v>
      </c>
      <c r="I36" s="49">
        <v>32270</v>
      </c>
      <c r="J36" s="47">
        <v>8653</v>
      </c>
      <c r="K36" s="47" t="s">
        <v>97</v>
      </c>
      <c r="L36" s="47" t="str">
        <f>IF(28*72.35=0," ",TEXT(,ROUND((28*72.35*8.94),2)))</f>
        <v>18110.65</v>
      </c>
      <c r="M36" s="47" t="s">
        <v>98</v>
      </c>
      <c r="N36" s="47" t="s">
        <v>99</v>
      </c>
      <c r="O36" s="50"/>
      <c r="P36" s="50"/>
      <c r="Q36" s="50"/>
      <c r="R36" s="50"/>
      <c r="S36" s="50"/>
      <c r="T36" s="51"/>
      <c r="U36" s="51"/>
      <c r="V36" s="51"/>
      <c r="W36" s="51"/>
      <c r="X36" s="51"/>
      <c r="Y36" s="51"/>
      <c r="Z36" s="51"/>
      <c r="AA36" s="51" t="s">
        <v>100</v>
      </c>
      <c r="AB36" s="51" t="s">
        <v>101</v>
      </c>
      <c r="AC36" s="51">
        <v>9347</v>
      </c>
      <c r="AD36" s="51">
        <v>5428</v>
      </c>
      <c r="AE36" s="51"/>
      <c r="AF36" s="51" t="s">
        <v>102</v>
      </c>
      <c r="AG36" s="51" t="s">
        <v>103</v>
      </c>
      <c r="AH36" s="51"/>
      <c r="AI36" s="51">
        <f>8653+1398</f>
        <v>10051</v>
      </c>
    </row>
    <row r="37" spans="1:35" ht="63.75" x14ac:dyDescent="0.2">
      <c r="A37" s="44">
        <v>11</v>
      </c>
      <c r="B37" s="45" t="s">
        <v>104</v>
      </c>
      <c r="C37" s="46" t="str">
        <f t="shared" ca="1" si="1"/>
        <v xml:space="preserve">Песок природный для строительных: растворов средний
м3
</v>
      </c>
      <c r="D37" s="44">
        <v>-33.6</v>
      </c>
      <c r="E37" s="47">
        <v>59.99</v>
      </c>
      <c r="F37" s="47"/>
      <c r="G37" s="47">
        <v>59.99</v>
      </c>
      <c r="H37" s="48" t="s">
        <v>105</v>
      </c>
      <c r="I37" s="49">
        <v>-18001</v>
      </c>
      <c r="J37" s="47"/>
      <c r="K37" s="47"/>
      <c r="L37" s="47" t="str">
        <f>IF(-33.6*59.99=0," ",TEXT(,ROUND((-33.6*59.99*8.929),2)))</f>
        <v>-17997.86</v>
      </c>
      <c r="M37" s="47"/>
      <c r="N37" s="47"/>
      <c r="O37" s="50"/>
      <c r="P37" s="50"/>
      <c r="Q37" s="50"/>
      <c r="R37" s="50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 t="s">
        <v>106</v>
      </c>
      <c r="AG37" s="51" t="s">
        <v>107</v>
      </c>
      <c r="AH37" s="51"/>
      <c r="AI37" s="51">
        <f>0+0</f>
        <v>0</v>
      </c>
    </row>
    <row r="38" spans="1:35" ht="51" x14ac:dyDescent="0.2">
      <c r="A38" s="44">
        <v>12</v>
      </c>
      <c r="B38" s="45" t="s">
        <v>108</v>
      </c>
      <c r="C38" s="46" t="str">
        <f t="shared" ca="1" si="1"/>
        <v xml:space="preserve">Смесь песчано-гравийная природная
м3
</v>
      </c>
      <c r="D38" s="44">
        <v>33.6</v>
      </c>
      <c r="E38" s="47">
        <v>60</v>
      </c>
      <c r="F38" s="47"/>
      <c r="G38" s="47">
        <v>60</v>
      </c>
      <c r="H38" s="48" t="s">
        <v>109</v>
      </c>
      <c r="I38" s="49">
        <v>21694</v>
      </c>
      <c r="J38" s="47"/>
      <c r="K38" s="47"/>
      <c r="L38" s="47" t="str">
        <f>IF(33.6*60=0," ",TEXT(,ROUND((33.6*60*10.761),2)))</f>
        <v>21694.18</v>
      </c>
      <c r="M38" s="47"/>
      <c r="N38" s="47"/>
      <c r="O38" s="50"/>
      <c r="P38" s="50"/>
      <c r="Q38" s="50"/>
      <c r="R38" s="50"/>
      <c r="S38" s="50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 t="s">
        <v>110</v>
      </c>
      <c r="AG38" s="51" t="s">
        <v>107</v>
      </c>
      <c r="AH38" s="51"/>
      <c r="AI38" s="51">
        <f>0+0</f>
        <v>0</v>
      </c>
    </row>
    <row r="39" spans="1:35" ht="140.25" x14ac:dyDescent="0.2">
      <c r="A39" s="44">
        <v>13</v>
      </c>
      <c r="B39" s="45" t="s">
        <v>111</v>
      </c>
      <c r="C39" s="46" t="str">
        <f t="shared" ca="1" si="1"/>
        <v xml:space="preserve">Устройство асфальтобетонных покрытий дорожек и тротуаров однослойных из литой мелкозернистой асфальтобетонной смеси толщиной 3 см
100 м2 покрытия
3550 руб. НР 109%=142%*(0,85*0,9) от ФОТ (3257 руб.)
2117 руб.СП 65%=95%*(0,8*0,85) от ФОТ (3257 руб.)
</v>
      </c>
      <c r="D39" s="44">
        <v>1.4</v>
      </c>
      <c r="E39" s="47" t="s">
        <v>112</v>
      </c>
      <c r="F39" s="47" t="s">
        <v>113</v>
      </c>
      <c r="G39" s="47">
        <v>3368.37</v>
      </c>
      <c r="H39" s="48" t="s">
        <v>114</v>
      </c>
      <c r="I39" s="49">
        <v>36645</v>
      </c>
      <c r="J39" s="47">
        <v>3241</v>
      </c>
      <c r="K39" s="47" t="s">
        <v>115</v>
      </c>
      <c r="L39" s="47" t="str">
        <f>IF(1.4*3368.37=0," ",TEXT(,ROUND((1.4*3368.37*7.01),2)))</f>
        <v>33057.18</v>
      </c>
      <c r="M39" s="47" t="s">
        <v>116</v>
      </c>
      <c r="N39" s="47" t="s">
        <v>117</v>
      </c>
      <c r="O39" s="50"/>
      <c r="P39" s="50"/>
      <c r="Q39" s="50"/>
      <c r="R39" s="50"/>
      <c r="S39" s="50"/>
      <c r="T39" s="51"/>
      <c r="U39" s="51"/>
      <c r="V39" s="51"/>
      <c r="W39" s="51"/>
      <c r="X39" s="51"/>
      <c r="Y39" s="51"/>
      <c r="Z39" s="51"/>
      <c r="AA39" s="51" t="s">
        <v>118</v>
      </c>
      <c r="AB39" s="51" t="s">
        <v>119</v>
      </c>
      <c r="AC39" s="51">
        <v>3550</v>
      </c>
      <c r="AD39" s="51">
        <v>2117</v>
      </c>
      <c r="AE39" s="51"/>
      <c r="AF39" s="51" t="s">
        <v>120</v>
      </c>
      <c r="AG39" s="51" t="s">
        <v>121</v>
      </c>
      <c r="AH39" s="51"/>
      <c r="AI39" s="51">
        <f>3241+16</f>
        <v>3257</v>
      </c>
    </row>
    <row r="40" spans="1:35" ht="153" x14ac:dyDescent="0.2">
      <c r="A40" s="44">
        <v>14</v>
      </c>
      <c r="B40" s="45" t="s">
        <v>122</v>
      </c>
      <c r="C40" s="46" t="str">
        <f t="shared" ca="1" si="1"/>
        <v xml:space="preserve">На каждые 0,5 см изменения толщины покрытия добавлять к расценке 27-07-001-01
100 м2 покрытия
КОЭФ. К ПОЗИЦИИ:
Всего толщ. 10 см ПЗ=14 (ОЗП=14; ЭМ=14 к расх.; ЗПМ=14; МАТ=14 к расх.; ТЗ=14; ТЗМ=14)
7567 руб. НР 109%=142%*(0,85*0,9) от ФОТ (6942 руб.)
4512 руб.СП 65%=95%*(0,8*0,85) от ФОТ (6942 руб.)
</v>
      </c>
      <c r="D40" s="44">
        <v>1.4</v>
      </c>
      <c r="E40" s="47" t="s">
        <v>123</v>
      </c>
      <c r="F40" s="47">
        <v>117.6</v>
      </c>
      <c r="G40" s="47">
        <v>7714.28</v>
      </c>
      <c r="H40" s="48" t="s">
        <v>114</v>
      </c>
      <c r="I40" s="49">
        <v>83356</v>
      </c>
      <c r="J40" s="47">
        <v>6942</v>
      </c>
      <c r="K40" s="47">
        <v>706</v>
      </c>
      <c r="L40" s="47" t="str">
        <f>IF(1.4*7714.28=0," ",TEXT(,ROUND((1.4*7714.28*7.01),2)))</f>
        <v>75707.94</v>
      </c>
      <c r="M40" s="47">
        <v>32.479999999999997</v>
      </c>
      <c r="N40" s="47">
        <v>45.47</v>
      </c>
      <c r="O40" s="50"/>
      <c r="P40" s="50"/>
      <c r="Q40" s="50"/>
      <c r="R40" s="50"/>
      <c r="S40" s="50"/>
      <c r="T40" s="51"/>
      <c r="U40" s="51"/>
      <c r="V40" s="51"/>
      <c r="W40" s="51"/>
      <c r="X40" s="51"/>
      <c r="Y40" s="51"/>
      <c r="Z40" s="51"/>
      <c r="AA40" s="51" t="s">
        <v>118</v>
      </c>
      <c r="AB40" s="51" t="s">
        <v>119</v>
      </c>
      <c r="AC40" s="51">
        <v>7567</v>
      </c>
      <c r="AD40" s="51">
        <v>4512</v>
      </c>
      <c r="AE40" s="59" t="s">
        <v>124</v>
      </c>
      <c r="AF40" s="51" t="s">
        <v>125</v>
      </c>
      <c r="AG40" s="51" t="s">
        <v>121</v>
      </c>
      <c r="AH40" s="51"/>
      <c r="AI40" s="51">
        <f>6942+0</f>
        <v>6942</v>
      </c>
    </row>
    <row r="41" spans="1:35" ht="63.75" x14ac:dyDescent="0.2">
      <c r="A41" s="44">
        <v>15</v>
      </c>
      <c r="B41" s="45" t="s">
        <v>126</v>
      </c>
      <c r="C41" s="46" t="str">
        <f t="shared" ca="1" si="1"/>
        <v xml:space="preserve">Асфальт литой: для покрытий тротуаров тип II (жесткий)
т
</v>
      </c>
      <c r="D41" s="44">
        <v>-33.716000000000001</v>
      </c>
      <c r="E41" s="47">
        <v>455.39</v>
      </c>
      <c r="F41" s="47"/>
      <c r="G41" s="47">
        <v>455.39</v>
      </c>
      <c r="H41" s="48" t="s">
        <v>127</v>
      </c>
      <c r="I41" s="49">
        <v>-104760</v>
      </c>
      <c r="J41" s="47"/>
      <c r="K41" s="47"/>
      <c r="L41" s="47" t="str">
        <f>IF(-33.716*455.39=0," ",TEXT(,ROUND((-33.716*455.39*6.823),2)))</f>
        <v>-104759.86</v>
      </c>
      <c r="M41" s="47"/>
      <c r="N41" s="47"/>
      <c r="O41" s="50"/>
      <c r="P41" s="50"/>
      <c r="Q41" s="50"/>
      <c r="R41" s="50"/>
      <c r="S41" s="50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 t="s">
        <v>128</v>
      </c>
      <c r="AG41" s="51" t="s">
        <v>44</v>
      </c>
      <c r="AH41" s="51"/>
      <c r="AI41" s="51">
        <f>0+0</f>
        <v>0</v>
      </c>
    </row>
    <row r="42" spans="1:35" ht="89.25" x14ac:dyDescent="0.2">
      <c r="A42" s="53">
        <v>16</v>
      </c>
      <c r="B42" s="54" t="s">
        <v>129</v>
      </c>
      <c r="C42" s="55" t="str">
        <f t="shared" ca="1" si="1"/>
        <v xml:space="preserve">Смеси асфальтобетонные дорожные, аэродромные и асфальтобетон (горячие для плотного асфальтобетона мелко и крупнозернистые, песчаные), марка: II, тип А
т
</v>
      </c>
      <c r="D42" s="53">
        <v>33.716000000000001</v>
      </c>
      <c r="E42" s="56">
        <v>452</v>
      </c>
      <c r="F42" s="56"/>
      <c r="G42" s="56">
        <v>452</v>
      </c>
      <c r="H42" s="57" t="s">
        <v>130</v>
      </c>
      <c r="I42" s="58">
        <v>106893</v>
      </c>
      <c r="J42" s="56"/>
      <c r="K42" s="56"/>
      <c r="L42" s="56" t="str">
        <f>IF(33.716*452=0," ",TEXT(,ROUND((33.716*452*7.014),2)))</f>
        <v>106890.78</v>
      </c>
      <c r="M42" s="56"/>
      <c r="N42" s="56"/>
      <c r="O42" s="50"/>
      <c r="P42" s="50"/>
      <c r="Q42" s="50"/>
      <c r="R42" s="50"/>
      <c r="S42" s="50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 t="s">
        <v>131</v>
      </c>
      <c r="AG42" s="51" t="s">
        <v>44</v>
      </c>
      <c r="AH42" s="51"/>
      <c r="AI42" s="51">
        <f>0+0</f>
        <v>0</v>
      </c>
    </row>
    <row r="43" spans="1:35" ht="25.5" x14ac:dyDescent="0.2">
      <c r="A43" s="92" t="s">
        <v>62</v>
      </c>
      <c r="B43" s="93"/>
      <c r="C43" s="93"/>
      <c r="D43" s="93"/>
      <c r="E43" s="93"/>
      <c r="F43" s="93"/>
      <c r="G43" s="93"/>
      <c r="H43" s="93"/>
      <c r="I43" s="49">
        <v>21386</v>
      </c>
      <c r="J43" s="47">
        <v>2306</v>
      </c>
      <c r="K43" s="47" t="s">
        <v>132</v>
      </c>
      <c r="L43" s="47">
        <v>17428</v>
      </c>
      <c r="M43" s="47"/>
      <c r="N43" s="47" t="s">
        <v>133</v>
      </c>
      <c r="O43" s="18"/>
      <c r="P43" s="19"/>
      <c r="Q43" s="18"/>
      <c r="R43" s="18"/>
      <c r="S43" s="18"/>
    </row>
    <row r="44" spans="1:35" ht="25.5" x14ac:dyDescent="0.2">
      <c r="A44" s="92" t="s">
        <v>65</v>
      </c>
      <c r="B44" s="93"/>
      <c r="C44" s="93"/>
      <c r="D44" s="93"/>
      <c r="E44" s="93"/>
      <c r="F44" s="93"/>
      <c r="G44" s="93"/>
      <c r="H44" s="93"/>
      <c r="I44" s="49">
        <v>183117</v>
      </c>
      <c r="J44" s="47">
        <v>37934</v>
      </c>
      <c r="K44" s="47" t="s">
        <v>134</v>
      </c>
      <c r="L44" s="47">
        <v>132705</v>
      </c>
      <c r="M44" s="47"/>
      <c r="N44" s="47" t="s">
        <v>133</v>
      </c>
      <c r="O44" s="18"/>
      <c r="P44" s="19"/>
      <c r="Q44" s="18"/>
      <c r="R44" s="18"/>
      <c r="S44" s="18"/>
    </row>
    <row r="45" spans="1:35" x14ac:dyDescent="0.2">
      <c r="A45" s="92" t="s">
        <v>67</v>
      </c>
      <c r="B45" s="93"/>
      <c r="C45" s="93"/>
      <c r="D45" s="93"/>
      <c r="E45" s="93"/>
      <c r="F45" s="93"/>
      <c r="G45" s="93"/>
      <c r="H45" s="93"/>
      <c r="I45" s="49">
        <v>34652</v>
      </c>
      <c r="J45" s="47"/>
      <c r="K45" s="47"/>
      <c r="L45" s="47"/>
      <c r="M45" s="47"/>
      <c r="N45" s="47"/>
      <c r="O45" s="18"/>
      <c r="P45" s="19"/>
      <c r="Q45" s="18"/>
      <c r="R45" s="18"/>
      <c r="S45" s="18"/>
    </row>
    <row r="46" spans="1:35" x14ac:dyDescent="0.2">
      <c r="A46" s="92" t="s">
        <v>68</v>
      </c>
      <c r="B46" s="93"/>
      <c r="C46" s="93"/>
      <c r="D46" s="93"/>
      <c r="E46" s="93"/>
      <c r="F46" s="93"/>
      <c r="G46" s="93"/>
      <c r="H46" s="93"/>
      <c r="I46" s="49">
        <v>19489</v>
      </c>
      <c r="J46" s="47"/>
      <c r="K46" s="47"/>
      <c r="L46" s="47"/>
      <c r="M46" s="47"/>
      <c r="N46" s="47"/>
      <c r="O46" s="18"/>
      <c r="P46" s="19"/>
      <c r="Q46" s="18"/>
      <c r="R46" s="18"/>
      <c r="S46" s="18"/>
    </row>
    <row r="47" spans="1:35" ht="25.5" x14ac:dyDescent="0.2">
      <c r="A47" s="88" t="s">
        <v>135</v>
      </c>
      <c r="B47" s="89"/>
      <c r="C47" s="89"/>
      <c r="D47" s="89"/>
      <c r="E47" s="89"/>
      <c r="F47" s="89"/>
      <c r="G47" s="89"/>
      <c r="H47" s="89"/>
      <c r="I47" s="58">
        <v>237258</v>
      </c>
      <c r="J47" s="56"/>
      <c r="K47" s="56"/>
      <c r="L47" s="56"/>
      <c r="M47" s="56"/>
      <c r="N47" s="56" t="s">
        <v>133</v>
      </c>
      <c r="O47" s="18"/>
      <c r="P47" s="19"/>
      <c r="Q47" s="18"/>
      <c r="R47" s="18"/>
      <c r="S47" s="18"/>
    </row>
    <row r="48" spans="1:35" ht="21" customHeight="1" x14ac:dyDescent="0.2">
      <c r="A48" s="90" t="s">
        <v>136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</row>
    <row r="49" spans="1:35" ht="63.75" x14ac:dyDescent="0.2">
      <c r="A49" s="44">
        <v>17</v>
      </c>
      <c r="B49" s="45" t="s">
        <v>137</v>
      </c>
      <c r="C49" s="46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Сталь круглая углеродистая обыкновенного качества марки ВСт3пс5-1 диаметром: 8 мм
т
</v>
      </c>
      <c r="D49" s="44">
        <v>0.16270000000000001</v>
      </c>
      <c r="E49" s="47">
        <v>5230.01</v>
      </c>
      <c r="F49" s="47"/>
      <c r="G49" s="47">
        <v>5230.01</v>
      </c>
      <c r="H49" s="48" t="s">
        <v>138</v>
      </c>
      <c r="I49" s="49">
        <v>4715</v>
      </c>
      <c r="J49" s="47"/>
      <c r="K49" s="47"/>
      <c r="L49" s="47" t="str">
        <f>IF(0.1627*5230.01=0," ",TEXT(,ROUND((0.1627*5230.01*5.541),2)))</f>
        <v>4714.96</v>
      </c>
      <c r="M49" s="47"/>
      <c r="N49" s="47"/>
      <c r="O49" s="50"/>
      <c r="P49" s="50"/>
      <c r="Q49" s="50"/>
      <c r="R49" s="50"/>
      <c r="S49" s="50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 t="s">
        <v>139</v>
      </c>
      <c r="AG49" s="51" t="s">
        <v>44</v>
      </c>
      <c r="AH49" s="51"/>
      <c r="AI49" s="51">
        <f>0+0</f>
        <v>0</v>
      </c>
    </row>
    <row r="50" spans="1:35" ht="63.75" x14ac:dyDescent="0.2">
      <c r="A50" s="53">
        <v>18</v>
      </c>
      <c r="B50" s="54" t="s">
        <v>140</v>
      </c>
      <c r="C50" s="55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Сталь круглая углеродистая обыкновенного качества марки ВСт3пс5-1 диаметром: 18 мм
т
</v>
      </c>
      <c r="D50" s="53">
        <v>0.30570000000000003</v>
      </c>
      <c r="E50" s="56">
        <v>5230.01</v>
      </c>
      <c r="F50" s="56"/>
      <c r="G50" s="56">
        <v>5230.01</v>
      </c>
      <c r="H50" s="57" t="s">
        <v>141</v>
      </c>
      <c r="I50" s="58">
        <v>8755</v>
      </c>
      <c r="J50" s="56"/>
      <c r="K50" s="56"/>
      <c r="L50" s="56" t="str">
        <f>IF(0.3057*5230.01=0," ",TEXT(,ROUND((0.3057*5230.01*5.475),2)))</f>
        <v>8753.51</v>
      </c>
      <c r="M50" s="56"/>
      <c r="N50" s="56"/>
      <c r="O50" s="50"/>
      <c r="P50" s="50"/>
      <c r="Q50" s="50"/>
      <c r="R50" s="50"/>
      <c r="S50" s="50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 t="s">
        <v>142</v>
      </c>
      <c r="AG50" s="51" t="s">
        <v>44</v>
      </c>
      <c r="AH50" s="51"/>
      <c r="AI50" s="51">
        <f>0+0</f>
        <v>0</v>
      </c>
    </row>
    <row r="51" spans="1:35" x14ac:dyDescent="0.2">
      <c r="A51" s="92" t="s">
        <v>62</v>
      </c>
      <c r="B51" s="93"/>
      <c r="C51" s="93"/>
      <c r="D51" s="93"/>
      <c r="E51" s="93"/>
      <c r="F51" s="93"/>
      <c r="G51" s="93"/>
      <c r="H51" s="93"/>
      <c r="I51" s="49">
        <v>2450</v>
      </c>
      <c r="J51" s="47"/>
      <c r="K51" s="47"/>
      <c r="L51" s="47">
        <v>2450</v>
      </c>
      <c r="M51" s="47"/>
      <c r="N51" s="47"/>
      <c r="O51" s="18"/>
      <c r="P51" s="19"/>
      <c r="Q51" s="18"/>
      <c r="R51" s="18"/>
      <c r="S51" s="18"/>
    </row>
    <row r="52" spans="1:35" x14ac:dyDescent="0.2">
      <c r="A52" s="92" t="s">
        <v>65</v>
      </c>
      <c r="B52" s="93"/>
      <c r="C52" s="93"/>
      <c r="D52" s="93"/>
      <c r="E52" s="93"/>
      <c r="F52" s="93"/>
      <c r="G52" s="93"/>
      <c r="H52" s="93"/>
      <c r="I52" s="49">
        <v>13470</v>
      </c>
      <c r="J52" s="47"/>
      <c r="K52" s="47"/>
      <c r="L52" s="47">
        <v>13470</v>
      </c>
      <c r="M52" s="47"/>
      <c r="N52" s="47"/>
      <c r="O52" s="18"/>
      <c r="P52" s="19"/>
      <c r="Q52" s="18"/>
      <c r="R52" s="18"/>
      <c r="S52" s="18"/>
    </row>
    <row r="53" spans="1:35" x14ac:dyDescent="0.2">
      <c r="A53" s="88" t="s">
        <v>143</v>
      </c>
      <c r="B53" s="89"/>
      <c r="C53" s="89"/>
      <c r="D53" s="89"/>
      <c r="E53" s="89"/>
      <c r="F53" s="89"/>
      <c r="G53" s="89"/>
      <c r="H53" s="89"/>
      <c r="I53" s="58">
        <v>13470</v>
      </c>
      <c r="J53" s="56"/>
      <c r="K53" s="56"/>
      <c r="L53" s="56"/>
      <c r="M53" s="56"/>
      <c r="N53" s="56"/>
      <c r="O53" s="18"/>
      <c r="P53" s="19"/>
      <c r="Q53" s="18"/>
      <c r="R53" s="18"/>
      <c r="S53" s="18"/>
    </row>
    <row r="54" spans="1:35" ht="25.5" x14ac:dyDescent="0.2">
      <c r="A54" s="94" t="s">
        <v>144</v>
      </c>
      <c r="B54" s="93"/>
      <c r="C54" s="93"/>
      <c r="D54" s="93"/>
      <c r="E54" s="93"/>
      <c r="F54" s="93"/>
      <c r="G54" s="93"/>
      <c r="H54" s="93"/>
      <c r="I54" s="60">
        <v>26875</v>
      </c>
      <c r="J54" s="60">
        <v>4393</v>
      </c>
      <c r="K54" s="60" t="s">
        <v>145</v>
      </c>
      <c r="L54" s="60">
        <v>20270</v>
      </c>
      <c r="M54" s="60"/>
      <c r="N54" s="60" t="s">
        <v>146</v>
      </c>
      <c r="O54" s="18"/>
      <c r="P54" s="19"/>
      <c r="Q54" s="18"/>
      <c r="R54" s="18"/>
      <c r="S54" s="18"/>
    </row>
    <row r="55" spans="1:35" ht="25.5" x14ac:dyDescent="0.2">
      <c r="A55" s="94" t="s">
        <v>147</v>
      </c>
      <c r="B55" s="93"/>
      <c r="C55" s="93"/>
      <c r="D55" s="93"/>
      <c r="E55" s="93"/>
      <c r="F55" s="93"/>
      <c r="G55" s="93"/>
      <c r="H55" s="93"/>
      <c r="I55" s="60">
        <v>235585</v>
      </c>
      <c r="J55" s="60">
        <v>72265</v>
      </c>
      <c r="K55" s="60" t="s">
        <v>148</v>
      </c>
      <c r="L55" s="60">
        <v>146088</v>
      </c>
      <c r="M55" s="60"/>
      <c r="N55" s="60" t="s">
        <v>146</v>
      </c>
      <c r="O55" s="18"/>
      <c r="P55" s="19"/>
      <c r="Q55" s="18"/>
      <c r="R55" s="18"/>
      <c r="S55" s="18"/>
    </row>
    <row r="56" spans="1:35" x14ac:dyDescent="0.2">
      <c r="A56" s="94" t="s">
        <v>67</v>
      </c>
      <c r="B56" s="93"/>
      <c r="C56" s="93"/>
      <c r="D56" s="93"/>
      <c r="E56" s="93"/>
      <c r="F56" s="93"/>
      <c r="G56" s="93"/>
      <c r="H56" s="93"/>
      <c r="I56" s="60">
        <v>62240</v>
      </c>
      <c r="J56" s="60"/>
      <c r="K56" s="60"/>
      <c r="L56" s="60"/>
      <c r="M56" s="60"/>
      <c r="N56" s="60"/>
      <c r="O56" s="18"/>
      <c r="P56" s="19"/>
      <c r="Q56" s="18"/>
      <c r="R56" s="18"/>
      <c r="S56" s="18"/>
    </row>
    <row r="57" spans="1:35" x14ac:dyDescent="0.2">
      <c r="A57" s="94" t="s">
        <v>68</v>
      </c>
      <c r="B57" s="93"/>
      <c r="C57" s="93"/>
      <c r="D57" s="93"/>
      <c r="E57" s="93"/>
      <c r="F57" s="93"/>
      <c r="G57" s="93"/>
      <c r="H57" s="93"/>
      <c r="I57" s="60">
        <v>37513</v>
      </c>
      <c r="J57" s="60"/>
      <c r="K57" s="60"/>
      <c r="L57" s="60"/>
      <c r="M57" s="60"/>
      <c r="N57" s="60"/>
      <c r="O57" s="18"/>
      <c r="P57" s="19"/>
      <c r="Q57" s="18"/>
      <c r="R57" s="18"/>
      <c r="S57" s="18"/>
    </row>
    <row r="58" spans="1:35" x14ac:dyDescent="0.2">
      <c r="A58" s="95" t="s">
        <v>149</v>
      </c>
      <c r="B58" s="96"/>
      <c r="C58" s="96"/>
      <c r="D58" s="96"/>
      <c r="E58" s="96"/>
      <c r="F58" s="96"/>
      <c r="G58" s="96"/>
      <c r="H58" s="96"/>
      <c r="I58" s="60"/>
      <c r="J58" s="60"/>
      <c r="K58" s="60"/>
      <c r="L58" s="60"/>
      <c r="M58" s="60"/>
      <c r="N58" s="60"/>
      <c r="O58" s="18"/>
      <c r="P58" s="19"/>
      <c r="Q58" s="18"/>
      <c r="R58" s="18"/>
      <c r="S58" s="18"/>
    </row>
    <row r="59" spans="1:35" ht="25.5" x14ac:dyDescent="0.2">
      <c r="A59" s="94" t="s">
        <v>150</v>
      </c>
      <c r="B59" s="93"/>
      <c r="C59" s="93"/>
      <c r="D59" s="93"/>
      <c r="E59" s="93"/>
      <c r="F59" s="93"/>
      <c r="G59" s="93"/>
      <c r="H59" s="93"/>
      <c r="I59" s="60">
        <v>237258</v>
      </c>
      <c r="J59" s="60"/>
      <c r="K59" s="60"/>
      <c r="L59" s="60"/>
      <c r="M59" s="60"/>
      <c r="N59" s="60" t="s">
        <v>133</v>
      </c>
      <c r="O59" s="18"/>
      <c r="P59" s="19"/>
      <c r="Q59" s="18"/>
      <c r="R59" s="18"/>
      <c r="S59" s="18"/>
    </row>
    <row r="60" spans="1:35" ht="25.5" x14ac:dyDescent="0.2">
      <c r="A60" s="94" t="s">
        <v>151</v>
      </c>
      <c r="B60" s="93"/>
      <c r="C60" s="93"/>
      <c r="D60" s="93"/>
      <c r="E60" s="93"/>
      <c r="F60" s="93"/>
      <c r="G60" s="93"/>
      <c r="H60" s="93"/>
      <c r="I60" s="60">
        <v>98080</v>
      </c>
      <c r="J60" s="60"/>
      <c r="K60" s="60"/>
      <c r="L60" s="60"/>
      <c r="M60" s="60"/>
      <c r="N60" s="60" t="s">
        <v>64</v>
      </c>
      <c r="O60" s="18"/>
      <c r="P60" s="19"/>
      <c r="Q60" s="18"/>
      <c r="R60" s="18"/>
      <c r="S60" s="18"/>
    </row>
    <row r="61" spans="1:35" ht="25.5" x14ac:dyDescent="0.2">
      <c r="A61" s="94" t="s">
        <v>152</v>
      </c>
      <c r="B61" s="93"/>
      <c r="C61" s="93"/>
      <c r="D61" s="93"/>
      <c r="E61" s="93"/>
      <c r="F61" s="93"/>
      <c r="G61" s="93"/>
      <c r="H61" s="93"/>
      <c r="I61" s="60">
        <v>335338</v>
      </c>
      <c r="J61" s="60"/>
      <c r="K61" s="60"/>
      <c r="L61" s="60"/>
      <c r="M61" s="60"/>
      <c r="N61" s="60" t="s">
        <v>146</v>
      </c>
      <c r="O61" s="18"/>
      <c r="P61" s="19"/>
      <c r="Q61" s="18"/>
      <c r="R61" s="18"/>
      <c r="S61" s="18"/>
    </row>
    <row r="62" spans="1:35" x14ac:dyDescent="0.2">
      <c r="A62" s="94" t="s">
        <v>153</v>
      </c>
      <c r="B62" s="93"/>
      <c r="C62" s="93"/>
      <c r="D62" s="93"/>
      <c r="E62" s="93"/>
      <c r="F62" s="93"/>
      <c r="G62" s="93"/>
      <c r="H62" s="93"/>
      <c r="I62" s="60"/>
      <c r="J62" s="60"/>
      <c r="K62" s="60"/>
      <c r="L62" s="60"/>
      <c r="M62" s="60"/>
      <c r="N62" s="60"/>
      <c r="O62" s="18"/>
      <c r="P62" s="19"/>
      <c r="Q62" s="18"/>
      <c r="R62" s="18"/>
      <c r="S62" s="18"/>
    </row>
    <row r="63" spans="1:35" x14ac:dyDescent="0.2">
      <c r="A63" s="94" t="s">
        <v>154</v>
      </c>
      <c r="B63" s="93"/>
      <c r="C63" s="93"/>
      <c r="D63" s="93"/>
      <c r="E63" s="93"/>
      <c r="F63" s="93"/>
      <c r="G63" s="93"/>
      <c r="H63" s="93"/>
      <c r="I63" s="60">
        <v>146088</v>
      </c>
      <c r="J63" s="60"/>
      <c r="K63" s="60"/>
      <c r="L63" s="60"/>
      <c r="M63" s="60"/>
      <c r="N63" s="60"/>
      <c r="O63" s="18"/>
      <c r="P63" s="19"/>
      <c r="Q63" s="18"/>
      <c r="R63" s="18"/>
      <c r="S63" s="18"/>
    </row>
    <row r="64" spans="1:35" x14ac:dyDescent="0.2">
      <c r="A64" s="94" t="s">
        <v>155</v>
      </c>
      <c r="B64" s="93"/>
      <c r="C64" s="93"/>
      <c r="D64" s="93"/>
      <c r="E64" s="93"/>
      <c r="F64" s="93"/>
      <c r="G64" s="93"/>
      <c r="H64" s="93"/>
      <c r="I64" s="60">
        <v>17236</v>
      </c>
      <c r="J64" s="60"/>
      <c r="K64" s="60"/>
      <c r="L64" s="60"/>
      <c r="M64" s="60"/>
      <c r="N64" s="60"/>
      <c r="O64" s="18"/>
      <c r="P64" s="19"/>
      <c r="Q64" s="18"/>
      <c r="R64" s="18"/>
      <c r="S64" s="18"/>
    </row>
    <row r="65" spans="1:19" x14ac:dyDescent="0.2">
      <c r="A65" s="94" t="s">
        <v>156</v>
      </c>
      <c r="B65" s="93"/>
      <c r="C65" s="93"/>
      <c r="D65" s="93"/>
      <c r="E65" s="93"/>
      <c r="F65" s="93"/>
      <c r="G65" s="93"/>
      <c r="H65" s="93"/>
      <c r="I65" s="60">
        <v>75176</v>
      </c>
      <c r="J65" s="60"/>
      <c r="K65" s="60"/>
      <c r="L65" s="60"/>
      <c r="M65" s="60"/>
      <c r="N65" s="60"/>
      <c r="O65" s="18"/>
      <c r="P65" s="19"/>
      <c r="Q65" s="18"/>
      <c r="R65" s="18"/>
      <c r="S65" s="18"/>
    </row>
    <row r="66" spans="1:19" x14ac:dyDescent="0.2">
      <c r="A66" s="94" t="s">
        <v>157</v>
      </c>
      <c r="B66" s="93"/>
      <c r="C66" s="93"/>
      <c r="D66" s="93"/>
      <c r="E66" s="93"/>
      <c r="F66" s="93"/>
      <c r="G66" s="93"/>
      <c r="H66" s="93"/>
      <c r="I66" s="60">
        <v>62240</v>
      </c>
      <c r="J66" s="60"/>
      <c r="K66" s="60"/>
      <c r="L66" s="60"/>
      <c r="M66" s="60"/>
      <c r="N66" s="60"/>
      <c r="O66" s="18"/>
      <c r="P66" s="19"/>
      <c r="Q66" s="18"/>
      <c r="R66" s="18"/>
      <c r="S66" s="18"/>
    </row>
    <row r="67" spans="1:19" x14ac:dyDescent="0.2">
      <c r="A67" s="94" t="s">
        <v>158</v>
      </c>
      <c r="B67" s="93"/>
      <c r="C67" s="93"/>
      <c r="D67" s="93"/>
      <c r="E67" s="93"/>
      <c r="F67" s="93"/>
      <c r="G67" s="93"/>
      <c r="H67" s="93"/>
      <c r="I67" s="60">
        <v>37513</v>
      </c>
      <c r="J67" s="60"/>
      <c r="K67" s="60"/>
      <c r="L67" s="60"/>
      <c r="M67" s="60"/>
      <c r="N67" s="60"/>
      <c r="O67" s="18"/>
      <c r="P67" s="19"/>
      <c r="Q67" s="18"/>
      <c r="R67" s="18"/>
      <c r="S67" s="18"/>
    </row>
    <row r="68" spans="1:19" ht="25.5" x14ac:dyDescent="0.2">
      <c r="A68" s="95" t="s">
        <v>159</v>
      </c>
      <c r="B68" s="96"/>
      <c r="C68" s="96"/>
      <c r="D68" s="96"/>
      <c r="E68" s="96"/>
      <c r="F68" s="96"/>
      <c r="G68" s="96"/>
      <c r="H68" s="96"/>
      <c r="I68" s="60">
        <v>335338</v>
      </c>
      <c r="J68" s="60"/>
      <c r="K68" s="60"/>
      <c r="L68" s="60"/>
      <c r="M68" s="60"/>
      <c r="N68" s="60" t="s">
        <v>146</v>
      </c>
      <c r="O68" s="18"/>
      <c r="P68" s="19"/>
      <c r="Q68" s="18"/>
      <c r="R68" s="18"/>
      <c r="S68" s="18"/>
    </row>
    <row r="69" spans="1:19" x14ac:dyDescent="0.2">
      <c r="A69" s="17"/>
      <c r="B69" s="37"/>
      <c r="C69" s="37"/>
      <c r="D69" s="17"/>
      <c r="E69" s="34"/>
      <c r="F69" s="34"/>
      <c r="G69" s="34"/>
      <c r="H69" s="34"/>
      <c r="I69" s="38"/>
      <c r="J69" s="34"/>
      <c r="K69" s="34"/>
      <c r="L69" s="34"/>
      <c r="M69" s="34"/>
      <c r="O69" s="5"/>
      <c r="P69" s="5"/>
      <c r="Q69" s="5"/>
      <c r="R69" s="5"/>
      <c r="S69" s="5"/>
    </row>
    <row r="70" spans="1:19" x14ac:dyDescent="0.2">
      <c r="A70" s="17"/>
      <c r="B70" s="37"/>
      <c r="C70" s="37"/>
      <c r="D70" s="17"/>
      <c r="E70" s="34"/>
      <c r="F70" s="34"/>
      <c r="G70" s="34"/>
      <c r="H70" s="34"/>
      <c r="I70" s="38"/>
      <c r="J70" s="34"/>
      <c r="K70" s="34"/>
      <c r="L70" s="34"/>
      <c r="M70" s="34"/>
    </row>
    <row r="71" spans="1:19" x14ac:dyDescent="0.2">
      <c r="A71" s="17"/>
      <c r="B71" s="37"/>
      <c r="C71" s="64" t="s">
        <v>164</v>
      </c>
      <c r="D71" s="17"/>
      <c r="E71" s="34"/>
      <c r="F71" s="39" t="s">
        <v>28</v>
      </c>
      <c r="G71" s="39"/>
      <c r="H71" s="39"/>
      <c r="I71" s="34"/>
      <c r="J71" s="34"/>
      <c r="K71" s="34"/>
      <c r="L71" s="34"/>
      <c r="M71" s="34"/>
    </row>
  </sheetData>
  <mergeCells count="51">
    <mergeCell ref="J12:N13"/>
    <mergeCell ref="A68:H68"/>
    <mergeCell ref="A62:H62"/>
    <mergeCell ref="A63:H63"/>
    <mergeCell ref="A64:H64"/>
    <mergeCell ref="A65:H65"/>
    <mergeCell ref="A66:H66"/>
    <mergeCell ref="A67:H67"/>
    <mergeCell ref="A61:H61"/>
    <mergeCell ref="A48:AI48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I15:L16"/>
    <mergeCell ref="M17:M18"/>
    <mergeCell ref="H15:H18"/>
    <mergeCell ref="I17:I18"/>
    <mergeCell ref="A47:H47"/>
    <mergeCell ref="A20:AI20"/>
    <mergeCell ref="A27:H27"/>
    <mergeCell ref="A28:H28"/>
    <mergeCell ref="A29:H29"/>
    <mergeCell ref="A30:H30"/>
    <mergeCell ref="A31:H31"/>
    <mergeCell ref="A32:AI32"/>
    <mergeCell ref="A43:H43"/>
    <mergeCell ref="A44:H44"/>
    <mergeCell ref="A45:H45"/>
    <mergeCell ref="A46:H46"/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2011-11-29T05:51:06Z</cp:lastPrinted>
  <dcterms:created xsi:type="dcterms:W3CDTF">2003-01-28T12:33:10Z</dcterms:created>
  <dcterms:modified xsi:type="dcterms:W3CDTF">2016-02-11T06:25:02Z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