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ОТДЕЛ ОРГАНИЗАЦИИ КР 2015\КРЫШИ\КОНКУРС СМР 12.02.2016\СметыАЭРОПОРТ\"/>
    </mc:Choice>
  </mc:AlternateContent>
  <bookViews>
    <workbookView xWindow="0" yWindow="60" windowWidth="7500" windowHeight="4245"/>
  </bookViews>
  <sheets>
    <sheet name="Лок.См.Расч.Баз.-Инд.Методом" sheetId="5" r:id="rId1"/>
  </sheets>
  <definedNames>
    <definedName name="Дата_изменения_группы_строек">#REF!</definedName>
    <definedName name="Дата_изменения_локальной_сметы">#REF!</definedName>
    <definedName name="Дата_изменения_объекта">#REF!</definedName>
    <definedName name="Дата_изменения_объектной_сметы">#REF!</definedName>
    <definedName name="Дата_изменения_очереди">#REF!</definedName>
    <definedName name="Дата_изменения_пускового_комплекса">#REF!</definedName>
    <definedName name="Дата_изменения_сводного_сметного_расчета">#REF!</definedName>
    <definedName name="Дата_изменения_стройки">#REF!</definedName>
    <definedName name="Дата_создания_группы_строек">#REF!</definedName>
    <definedName name="Дата_создания_локальной_сметы">#REF!</definedName>
    <definedName name="Дата_создания_объекта">#REF!</definedName>
    <definedName name="Дата_создания_объектной_сметы">#REF!</definedName>
    <definedName name="Дата_создания_очереди">#REF!</definedName>
    <definedName name="Дата_создания_пускового_комплекса">#REF!</definedName>
    <definedName name="Дата_создания_сводного_сметного_расчета">#REF!</definedName>
    <definedName name="Дата_создания_стройки">#REF!</definedName>
    <definedName name="_xlnm.Print_Titles" localSheetId="0">'Лок.См.Расч.Баз.-Инд.Методом'!$15:$18</definedName>
    <definedName name="Заказчик">#REF!</definedName>
    <definedName name="Инвестор">#REF!</definedName>
    <definedName name="Индекс_ЛН_группы_строек">#REF!</definedName>
    <definedName name="Индекс_ЛН_локальной_сметы">#REF!</definedName>
    <definedName name="Индекс_ЛН_объекта">#REF!</definedName>
    <definedName name="Индекс_ЛН_объектной_сметы">#REF!</definedName>
    <definedName name="Индекс_ЛН_очереди">#REF!</definedName>
    <definedName name="Индекс_ЛН_пускового_комплекса">#REF!</definedName>
    <definedName name="Индекс_ЛН_сводного_сметного_расчета">#REF!</definedName>
    <definedName name="Индекс_ЛН_стройки">#REF!</definedName>
    <definedName name="Итого_ЗПМ__по_рес_расчету_с_учетом_к_тов">#REF!</definedName>
    <definedName name="Итого_ЗПМ_в_базисных_ценах">#REF!</definedName>
    <definedName name="Итого_ЗПМ_в_базисных_ценах_с_учетом_к_тов">#REF!</definedName>
    <definedName name="Итого_ЗПМ_по_акту_вып_работ_в_базисных_ценах_с_учетом_к_тов">#REF!</definedName>
    <definedName name="Итого_ЗПМ_по_акту_вып_работ_при_ресурсном_расчете_с_учетом_к_тов">#REF!</definedName>
    <definedName name="Итого_ЗПМ_по_акту_выполненных_работ_в_базисных_ценах">#REF!</definedName>
    <definedName name="Итого_ЗПМ_по_акту_выполненных_работ_при_ресурсном_расчете">#REF!</definedName>
    <definedName name="Итого_ЗПМ_при_расчете_по_стоимости_ч_часа_работы_механизаторов">#REF!</definedName>
    <definedName name="Итого_МАТ_по_акту_вып_работ_в_базисных_ценах_с_учетом_к_тов">#REF!</definedName>
    <definedName name="Итого_МАТ_по_акту_вып_работ_при_ресурсном_расчете_с_учетом_к_тов">#REF!</definedName>
    <definedName name="Итого_материалы">#REF!</definedName>
    <definedName name="Итого_материалы__по_рес_расчету_с_учетом_к_тов">#REF!</definedName>
    <definedName name="Итого_материалы_в_базисных_ценах">#REF!</definedName>
    <definedName name="Итого_материалы_в_базисных_ценах_с_учетом_к_тов">#REF!</definedName>
    <definedName name="Итого_материалы_по_акту_выполненных_работ_в_базисных_ценах">#REF!</definedName>
    <definedName name="Итого_материалы_по_акту_выполненных_работ_при_ресурсном_расчете">#REF!</definedName>
    <definedName name="Итого_машины_и_механизмы">#REF!</definedName>
    <definedName name="Итого_машины_и_механизмы_в_базисных_ценах">#REF!</definedName>
    <definedName name="Итого_машины_и_механизмы_по_акту_выполненных_работ_в_базисных_ценах">#REF!</definedName>
    <definedName name="Итого_машины_и_механизмы_по_акту_выполненных_работ_при_ресурсном_расчете">#REF!</definedName>
    <definedName name="Итого_НР_в_базисных_ценах">#REF!</definedName>
    <definedName name="Итого_НР_по_акту_в_базисных_ценах">#REF!</definedName>
    <definedName name="Итого_НР_по_акту_по_ресурсному_расчету">#REF!</definedName>
    <definedName name="Итого_НР_по_ресурсному_расчету">#REF!</definedName>
    <definedName name="Итого_ОЗП">#REF!</definedName>
    <definedName name="Итого_ОЗП_в_базисных_ценах">#REF!</definedName>
    <definedName name="Итого_ОЗП_в_базисных_ценах_с_учетом_к_тов">#REF!</definedName>
    <definedName name="Итого_ОЗП_по_акту_вып_работ_в_базисных_ценах_с_учетом_к_тов">#REF!</definedName>
    <definedName name="Итого_ОЗП_по_акту_вып_работ_при_ресурсном_расчете_с_учетом_к_тов">#REF!</definedName>
    <definedName name="Итого_ОЗП_по_акту_выполненных_работ_в_базисных_ценах">#REF!</definedName>
    <definedName name="Итого_ОЗП_по_акту_выполненных_работ_при_ресурсном_расчете">#REF!</definedName>
    <definedName name="Итого_ОЗП_по_рес_расчету_с_учетом_к_тов">#REF!</definedName>
    <definedName name="Итого_ПЗ">#REF!</definedName>
    <definedName name="Итого_ПЗ_в_базисных_ценах">#REF!</definedName>
    <definedName name="Итого_ПЗ_в_базисных_ценах_с_учетом_к_тов">#REF!</definedName>
    <definedName name="Итого_ПЗ_по_акту_вып_работ_в_базисных_ценах_с_учетом_к_тов">#REF!</definedName>
    <definedName name="Итого_ПЗ_по_акту_вып_работ_при_ресурсном_расчете_с_учетом_к_тов">#REF!</definedName>
    <definedName name="Итого_ПЗ_по_акту_выполненных_работ_в_базисных_ценах">#REF!</definedName>
    <definedName name="Итого_ПЗ_по_акту_выполненных_работ_при_ресурсном_расчете">#REF!</definedName>
    <definedName name="Итого_ПЗ_по_рес_расчету_с_учетом_к_тов">#REF!</definedName>
    <definedName name="Итого_СП_в_базисных_ценах">#REF!</definedName>
    <definedName name="Итого_СП_по_акту_в_базисных_ценах">#REF!</definedName>
    <definedName name="Итого_СП_по_акту_по_ресурсному_расчету">#REF!</definedName>
    <definedName name="Итого_СП_по_ресурсному_расчету">#REF!</definedName>
    <definedName name="Итого_ФОТ_в_базисных_ценах">#REF!</definedName>
    <definedName name="Итого_ФОТ_по_акту_выполненных_работ_в_базисных_ценах">#REF!</definedName>
    <definedName name="Итого_ФОТ_по_акту_выполненных_работ_при_ресурсном_расчете">#REF!</definedName>
    <definedName name="Итого_ФОТ_при_расчете_по_доле_з_п_в_стоимости_эксплуатации_машин">#REF!</definedName>
    <definedName name="Итого_ЭММ__по_рес_расчету_с_учетом_к_тов">#REF!</definedName>
    <definedName name="Итого_ЭММ_в_базисных_ценах_с_учетом_к_тов">#REF!</definedName>
    <definedName name="Итого_ЭММ_по_акту_вып_работ_в_базисных_ценах_с_учетом_к_тов">#REF!</definedName>
    <definedName name="Итого_ЭММ_по_акту_вып_работ_при_ресурсном_расчете_с_учетом_к_тов">#REF!</definedName>
    <definedName name="к_ЗПМ">#REF!</definedName>
    <definedName name="к_МАТ">#REF!</definedName>
    <definedName name="к_ОЗП">#REF!</definedName>
    <definedName name="к_ПЗ">#REF!</definedName>
    <definedName name="к_ЭМ">#REF!</definedName>
    <definedName name="Монтажные_работы_в_базисных_ценах">#REF!</definedName>
    <definedName name="Монтажные_работы_в_текущих_ценах">#REF!</definedName>
    <definedName name="Монтажные_работы_в_текущих_ценах_по_ресурсному_расчету">#REF!</definedName>
    <definedName name="Монтажные_работы_в_текущих_ценах_после_применения_индексов">#REF!</definedName>
    <definedName name="Наименование_группы_строек">#REF!</definedName>
    <definedName name="Наименование_локальной_сметы">#REF!</definedName>
    <definedName name="Наименование_объекта">#REF!</definedName>
    <definedName name="Наименование_объектной_сметы">#REF!</definedName>
    <definedName name="Наименование_очереди">#REF!</definedName>
    <definedName name="Наименование_пускового_комплекса">#REF!</definedName>
    <definedName name="Наименование_сводного_сметного_расчета">#REF!</definedName>
    <definedName name="Наименование_стройки">#REF!</definedName>
    <definedName name="Норм_трудоемкость_механизаторов_по_смете_с_учетом_к_тов">#REF!</definedName>
    <definedName name="Норм_трудоемкость_осн_рабочих_по_смете_с_учетом_к_тов">#REF!</definedName>
    <definedName name="Нормативная_трудоемкость_механизаторов_по_смете">#REF!</definedName>
    <definedName name="Нормативная_трудоемкость_основных_рабочих_по_смете">#REF!</definedName>
    <definedName name="_xlnm.Print_Area" localSheetId="0">'Лок.См.Расч.Баз.-Инд.Методом'!$A$1:$N$200</definedName>
    <definedName name="Оборудование_в_базисных_ценах">#REF!</definedName>
    <definedName name="Оборудование_в_текущих_ценах">#REF!</definedName>
    <definedName name="Оборудование_в_текущих_ценах_по_ресурсному_расчету">#REF!</definedName>
    <definedName name="Оборудование_в_текущих_ценах_после_применения_индексов">#REF!</definedName>
    <definedName name="Обоснование_поправки">#REF!</definedName>
    <definedName name="Описание_группы_строек">#REF!</definedName>
    <definedName name="Описание_локальной_сметы">#REF!</definedName>
    <definedName name="Описание_объекта">#REF!</definedName>
    <definedName name="Описание_объектной_сметы">#REF!</definedName>
    <definedName name="Описание_очереди">#REF!</definedName>
    <definedName name="Описание_пускового_комплекса">#REF!</definedName>
    <definedName name="Описание_сводного_сметного_расчета">#REF!</definedName>
    <definedName name="Описание_стройки">#REF!</definedName>
    <definedName name="Основание">#REF!</definedName>
    <definedName name="Отчетный_период__учет_выполненных_работ">#REF!</definedName>
    <definedName name="Проверил">#REF!</definedName>
    <definedName name="Прочие_затраты_в_базисных_ценах">#REF!</definedName>
    <definedName name="Прочие_затраты_в_текущих_ценах">#REF!</definedName>
    <definedName name="Прочие_затраты_в_текущих_ценах_по_ресурсному_расчету">#REF!</definedName>
    <definedName name="Прочие_затраты_в_текущих_ценах_после_применения_индексов">#REF!</definedName>
    <definedName name="Районный_к_т_к_ЗП">#REF!</definedName>
    <definedName name="Районный_к_т_к_ЗП_по_ресурсному_расчету">#REF!</definedName>
    <definedName name="Регистрационный_номер_группы_строек">#REF!</definedName>
    <definedName name="Регистрационный_номер_локальной_сметы">#REF!</definedName>
    <definedName name="Регистрационный_номер_объекта">#REF!</definedName>
    <definedName name="Регистрационный_номер_объектной_сметы">#REF!</definedName>
    <definedName name="Регистрационный_номер_очереди">#REF!</definedName>
    <definedName name="Регистрационный_номер_пускового_комплекса">#REF!</definedName>
    <definedName name="Регистрационный_номер_сводного_сметного_расчета">#REF!</definedName>
    <definedName name="Регистрационный_номер_стройки">#REF!</definedName>
    <definedName name="Сметная_стоимость_в_базисных_ценах">#REF!</definedName>
    <definedName name="Сметная_стоимость_в_текущих_ценах__после_применения_индексов">#REF!</definedName>
    <definedName name="Сметная_стоимость_по_ресурсному_расчету">#REF!</definedName>
    <definedName name="Составил">#REF!</definedName>
    <definedName name="Стоимость_по_акту_выполненных_работ_в_базисных_ценах">#REF!</definedName>
    <definedName name="Стоимость_по_акту_выполненных_работ_при_ресурсном_расчете">#REF!</definedName>
    <definedName name="Строительные_работы_в_базисных_ценах">#REF!</definedName>
    <definedName name="Строительные_работы_в_текущих_ценах">#REF!</definedName>
    <definedName name="Строительные_работы_в_текущих_ценах_по_ресурсному_расчету">#REF!</definedName>
    <definedName name="Строительные_работы_в_текущих_ценах_после_применения_индексов">#REF!</definedName>
    <definedName name="Территориальная_поправка_к_ТЕР">#REF!</definedName>
    <definedName name="Труд_механизаторов_по_акту_вып_работ_с_учетом_к_тов">#REF!</definedName>
    <definedName name="Труд_основн_рабочих_по_акту_вып_работ_с_учетом_к_тов">#REF!</definedName>
    <definedName name="Трудоемкость_механизаторов_по_акту_выполненных_работ">#REF!</definedName>
    <definedName name="Трудоемкость_основных_рабочих_по_акту_выполненных_работ">#REF!</definedName>
    <definedName name="Укрупненный_норматив_НР_для_расчета_в_текущих_ценах_и_ценах_2001г.">#REF!</definedName>
    <definedName name="Укрупненный_норматив_НР_для_расчета_в_ценах_1984г.">#REF!</definedName>
    <definedName name="Укрупненный_норматив_СП_для_расчета_в_текущих_ценах_и_ценах_2001г.">#REF!</definedName>
    <definedName name="Укрупненный_норматив_СП_для_расчета_в_ценах_1984г.">#REF!</definedName>
  </definedNames>
  <calcPr calcId="152511"/>
</workbook>
</file>

<file path=xl/calcChain.xml><?xml version="1.0" encoding="utf-8"?>
<calcChain xmlns="http://schemas.openxmlformats.org/spreadsheetml/2006/main">
  <c r="L164" i="5" l="1"/>
  <c r="AI164" i="5"/>
  <c r="L165" i="5"/>
  <c r="AI165" i="5"/>
  <c r="L166" i="5"/>
  <c r="AI166" i="5"/>
  <c r="L144" i="5"/>
  <c r="AI144" i="5"/>
  <c r="L145" i="5"/>
  <c r="AI145" i="5"/>
  <c r="L146" i="5"/>
  <c r="AI146" i="5"/>
  <c r="L147" i="5"/>
  <c r="AI147" i="5"/>
  <c r="L148" i="5"/>
  <c r="AI148" i="5"/>
  <c r="L149" i="5"/>
  <c r="AI149" i="5"/>
  <c r="L150" i="5"/>
  <c r="AI150" i="5"/>
  <c r="L151" i="5"/>
  <c r="AI151" i="5"/>
  <c r="L152" i="5"/>
  <c r="AI152" i="5"/>
  <c r="L153" i="5"/>
  <c r="AI153" i="5"/>
  <c r="L154" i="5"/>
  <c r="AI154" i="5"/>
  <c r="L127" i="5"/>
  <c r="AI127" i="5"/>
  <c r="L128" i="5"/>
  <c r="AI128" i="5"/>
  <c r="L129" i="5"/>
  <c r="AI129" i="5"/>
  <c r="L130" i="5"/>
  <c r="AI130" i="5"/>
  <c r="L131" i="5"/>
  <c r="AI131" i="5"/>
  <c r="L132" i="5"/>
  <c r="AI132" i="5"/>
  <c r="L133" i="5"/>
  <c r="AI133" i="5"/>
  <c r="L134" i="5"/>
  <c r="AI134" i="5"/>
  <c r="L68" i="5"/>
  <c r="AI68" i="5"/>
  <c r="L69" i="5"/>
  <c r="AI69" i="5"/>
  <c r="L70" i="5"/>
  <c r="AI70" i="5"/>
  <c r="L71" i="5"/>
  <c r="AI71" i="5"/>
  <c r="L72" i="5"/>
  <c r="AI72" i="5"/>
  <c r="L73" i="5"/>
  <c r="AI73" i="5"/>
  <c r="L74" i="5"/>
  <c r="AI74" i="5"/>
  <c r="L75" i="5"/>
  <c r="AI75" i="5"/>
  <c r="L76" i="5"/>
  <c r="AI76" i="5"/>
  <c r="L77" i="5"/>
  <c r="AI77" i="5"/>
  <c r="L78" i="5"/>
  <c r="AI78" i="5"/>
  <c r="L79" i="5"/>
  <c r="AI79" i="5"/>
  <c r="L80" i="5"/>
  <c r="AI80" i="5"/>
  <c r="L81" i="5"/>
  <c r="AI81" i="5"/>
  <c r="L82" i="5"/>
  <c r="AI82" i="5"/>
  <c r="L83" i="5"/>
  <c r="AI83" i="5"/>
  <c r="L84" i="5"/>
  <c r="AI84" i="5"/>
  <c r="L85" i="5"/>
  <c r="AI85" i="5"/>
  <c r="L86" i="5"/>
  <c r="AI86" i="5"/>
  <c r="L87" i="5"/>
  <c r="AI87" i="5"/>
  <c r="L88" i="5"/>
  <c r="AI88" i="5"/>
  <c r="L89" i="5"/>
  <c r="AI89" i="5"/>
  <c r="L90" i="5"/>
  <c r="AI90" i="5"/>
  <c r="L91" i="5"/>
  <c r="AI91" i="5"/>
  <c r="L92" i="5"/>
  <c r="AI92" i="5"/>
  <c r="L93" i="5"/>
  <c r="AI93" i="5"/>
  <c r="L94" i="5"/>
  <c r="AI94" i="5"/>
  <c r="L95" i="5"/>
  <c r="AI95" i="5"/>
  <c r="L96" i="5"/>
  <c r="AI96" i="5"/>
  <c r="L97" i="5"/>
  <c r="AI97" i="5"/>
  <c r="L98" i="5"/>
  <c r="AI98" i="5"/>
  <c r="L99" i="5"/>
  <c r="AI99" i="5"/>
  <c r="L100" i="5"/>
  <c r="AI100" i="5"/>
  <c r="L101" i="5"/>
  <c r="AI101" i="5"/>
  <c r="L102" i="5"/>
  <c r="AI102" i="5"/>
  <c r="L103" i="5"/>
  <c r="AI103" i="5"/>
  <c r="L104" i="5"/>
  <c r="AI104" i="5"/>
  <c r="L105" i="5"/>
  <c r="AI105" i="5"/>
  <c r="L106" i="5"/>
  <c r="AI106" i="5"/>
  <c r="L107" i="5"/>
  <c r="AI107" i="5"/>
  <c r="L108" i="5"/>
  <c r="AI108" i="5"/>
  <c r="L109" i="5"/>
  <c r="AI109" i="5"/>
  <c r="L110" i="5"/>
  <c r="AI110" i="5"/>
  <c r="L111" i="5"/>
  <c r="AI111" i="5"/>
  <c r="L112" i="5"/>
  <c r="AI112" i="5"/>
  <c r="L113" i="5"/>
  <c r="AI113" i="5"/>
  <c r="L114" i="5"/>
  <c r="AI114" i="5"/>
  <c r="L115" i="5"/>
  <c r="AI115" i="5"/>
  <c r="L116" i="5"/>
  <c r="AI116" i="5"/>
  <c r="L117" i="5"/>
  <c r="AI117" i="5"/>
  <c r="L39" i="5"/>
  <c r="AI39" i="5"/>
  <c r="L40" i="5"/>
  <c r="AI40" i="5"/>
  <c r="L41" i="5"/>
  <c r="AI41" i="5"/>
  <c r="L42" i="5"/>
  <c r="AI42" i="5"/>
  <c r="L43" i="5"/>
  <c r="AI43" i="5"/>
  <c r="L44" i="5"/>
  <c r="AI44" i="5"/>
  <c r="L45" i="5"/>
  <c r="AI45" i="5"/>
  <c r="L46" i="5"/>
  <c r="AI46" i="5"/>
  <c r="L47" i="5"/>
  <c r="AI47" i="5"/>
  <c r="L48" i="5"/>
  <c r="AI48" i="5"/>
  <c r="L49" i="5"/>
  <c r="AI49" i="5"/>
  <c r="L50" i="5"/>
  <c r="AI50" i="5"/>
  <c r="L51" i="5"/>
  <c r="AI51" i="5"/>
  <c r="L52" i="5"/>
  <c r="AI52" i="5"/>
  <c r="L53" i="5"/>
  <c r="AI53" i="5"/>
  <c r="L54" i="5"/>
  <c r="AI54" i="5"/>
  <c r="L55" i="5"/>
  <c r="AI55" i="5"/>
  <c r="L56" i="5"/>
  <c r="AI56" i="5"/>
  <c r="L57" i="5"/>
  <c r="AI57" i="5"/>
  <c r="L58" i="5"/>
  <c r="AI58" i="5"/>
  <c r="L21" i="5"/>
  <c r="AI21" i="5"/>
  <c r="L22" i="5"/>
  <c r="AI22" i="5"/>
  <c r="L23" i="5"/>
  <c r="AI23" i="5"/>
  <c r="L24" i="5"/>
  <c r="AI24" i="5"/>
  <c r="L25" i="5"/>
  <c r="AI25" i="5"/>
  <c r="L26" i="5"/>
  <c r="AI26" i="5"/>
  <c r="L27" i="5"/>
  <c r="AI27" i="5"/>
  <c r="L28" i="5"/>
  <c r="AI28" i="5"/>
  <c r="L29" i="5"/>
  <c r="AI29" i="5"/>
  <c r="L30" i="5"/>
  <c r="AI30" i="5"/>
  <c r="L31" i="5"/>
  <c r="AI31" i="5"/>
  <c r="L32" i="5"/>
  <c r="AI32" i="5"/>
  <c r="C127" i="5"/>
  <c r="C49" i="5"/>
  <c r="C99" i="5"/>
  <c r="C29" i="5"/>
  <c r="C106" i="5"/>
  <c r="C81" i="5"/>
  <c r="C28" i="5"/>
  <c r="C88" i="5"/>
  <c r="C130" i="5"/>
  <c r="C48" i="5"/>
  <c r="C70" i="5"/>
  <c r="C31" i="5"/>
  <c r="C109" i="5"/>
  <c r="C147" i="5"/>
  <c r="C39" i="5"/>
  <c r="C91" i="5"/>
  <c r="C53" i="5"/>
  <c r="C98" i="5"/>
  <c r="C73" i="5"/>
  <c r="C58" i="5"/>
  <c r="C80" i="5"/>
  <c r="C150" i="5"/>
  <c r="C40" i="5"/>
  <c r="C129" i="5"/>
  <c r="C51" i="5"/>
  <c r="C76" i="5"/>
  <c r="C146" i="5"/>
  <c r="C115" i="5"/>
  <c r="C153" i="5"/>
  <c r="C45" i="5"/>
  <c r="C97" i="5"/>
  <c r="C25" i="5"/>
  <c r="C104" i="5"/>
  <c r="C79" i="5"/>
  <c r="C26" i="5"/>
  <c r="C86" i="5"/>
  <c r="C128" i="5"/>
  <c r="C46" i="5"/>
  <c r="C68" i="5"/>
  <c r="C27" i="5"/>
  <c r="C107" i="5"/>
  <c r="C145" i="5"/>
  <c r="C116" i="5"/>
  <c r="C89" i="5"/>
  <c r="C47" i="5"/>
  <c r="C96" i="5"/>
  <c r="C71" i="5"/>
  <c r="C56" i="5"/>
  <c r="C78" i="5"/>
  <c r="C148" i="5"/>
  <c r="C117" i="5"/>
  <c r="C110" i="5"/>
  <c r="C32" i="5"/>
  <c r="C92" i="5"/>
  <c r="C134" i="5"/>
  <c r="C52" i="5"/>
  <c r="C74" i="5"/>
  <c r="C144" i="5"/>
  <c r="C113" i="5"/>
  <c r="C151" i="5"/>
  <c r="C43" i="5"/>
  <c r="C95" i="5"/>
  <c r="C23" i="5"/>
  <c r="C102" i="5"/>
  <c r="C77" i="5"/>
  <c r="C24" i="5"/>
  <c r="C84" i="5"/>
  <c r="C154" i="5"/>
  <c r="C44" i="5"/>
  <c r="C133" i="5"/>
  <c r="C22" i="5"/>
  <c r="C105" i="5"/>
  <c r="C166" i="5"/>
  <c r="C112" i="5"/>
  <c r="C87" i="5"/>
  <c r="C114" i="5"/>
  <c r="C94" i="5"/>
  <c r="C69" i="5"/>
  <c r="C54" i="5"/>
  <c r="C85" i="5"/>
  <c r="C108" i="5"/>
  <c r="C83" i="5"/>
  <c r="C30" i="5"/>
  <c r="C90" i="5"/>
  <c r="C132" i="5"/>
  <c r="C50" i="5"/>
  <c r="C72" i="5"/>
  <c r="C165" i="5"/>
  <c r="C111" i="5"/>
  <c r="C149" i="5"/>
  <c r="C41" i="5"/>
  <c r="C93" i="5"/>
  <c r="C57" i="5"/>
  <c r="C100" i="5"/>
  <c r="C75" i="5"/>
  <c r="C21" i="5"/>
  <c r="C82" i="5"/>
  <c r="C152" i="5"/>
  <c r="C42" i="5"/>
  <c r="C131" i="5"/>
  <c r="C55" i="5"/>
  <c r="C103" i="5"/>
  <c r="C164" i="5"/>
  <c r="C101" i="5"/>
</calcChain>
</file>

<file path=xl/comments1.xml><?xml version="1.0" encoding="utf-8"?>
<comments xmlns="http://schemas.openxmlformats.org/spreadsheetml/2006/main">
  <authors>
    <author>&lt;&gt;</author>
    <author>1</author>
    <author>Proba</author>
    <author>wall</author>
    <author>Rus</author>
    <author>Alex</author>
    <author>YuKazaeva</author>
  </authors>
  <commentList>
    <comment ref="F1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&lt;Наименование стройки&gt;</t>
        </r>
      </text>
    </comment>
    <comment ref="A4" authorId="1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&lt;подпись 240 значение&gt;
&lt;подпись 240 атрибут 800 значение&gt;
ИНН/КПП &lt;подпись 240 атрибут 830 значение&gt;/&lt;подпись 240 атрибут 840 значение&gt;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F4" authorId="2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&lt;Индекс/ЛН локальной сметы&gt;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I4" authorId="1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&lt;подпись 230 значение&gt;
&lt;подпись 230 атрибут 800 значение&gt;
ИНН/КПП &lt;подпись 230 атрибут 830 значение&gt;/&lt;подпись 230 атрибут 840 значение&gt;</t>
        </r>
      </text>
    </comment>
    <comment ref="D7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&lt;Наименование локальной сметы&gt;, &lt;Наименование объекта&gt;</t>
        </r>
      </text>
    </comment>
    <comment ref="A10" authorId="3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&lt;Основание&gt;
</t>
        </r>
      </text>
    </comment>
    <comment ref="C11" authorId="3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&lt;Итого по расчету&gt;</t>
        </r>
      </text>
    </comment>
    <comment ref="D12" authorId="3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&lt;Итого ФОТ&gt;</t>
        </r>
      </text>
    </comment>
    <comment ref="A19" authorId="0" shapeId="0">
      <text>
        <r>
          <rPr>
            <sz val="8"/>
            <color indexed="81"/>
            <rFont val="Tahoma"/>
            <family val="2"/>
            <charset val="204"/>
          </rPr>
          <t xml:space="preserve">  &lt;Номер позиции по смете&gt;</t>
        </r>
      </text>
    </comment>
    <comment ref="B19" authorId="0" shapeId="0">
      <text>
        <r>
          <rPr>
            <sz val="8"/>
            <color indexed="81"/>
            <rFont val="Tahoma"/>
            <family val="2"/>
            <charset val="204"/>
          </rPr>
          <t xml:space="preserve"> &lt;Обоснование (код) позиции&gt;
ПЗ=&lt;К-т к позиции на прямые затраты&gt;
ОЗП=&lt;К-т к позиции на основную з/п&gt;
ЭМ=&lt;К-т к позиции на эксплуатацию машин&gt;
ЗПМ=&lt;К-т к позиции на з/п машинистов&gt;
МАТ=&lt;К-т к позиции на материалы&gt;
ТЗ=&lt;К-т к позиции на трудозатраты рабочих&gt;
ТЗМ=&lt;К-т к позиции на трудозатраты механизаторов&gt;
&lt;Примечание&gt;</t>
        </r>
      </text>
    </comment>
    <comment ref="C19" authorId="0" shapeId="0">
      <text>
        <r>
          <rPr>
            <sz val="14"/>
            <color indexed="81"/>
            <rFont val="Tahoma"/>
            <family val="2"/>
            <charset val="204"/>
          </rPr>
          <t xml:space="preserve"> =INDIRECT("</t>
        </r>
        <r>
          <rPr>
            <b/>
            <sz val="14"/>
            <color indexed="81"/>
            <rFont val="Tahoma"/>
            <family val="2"/>
            <charset val="204"/>
          </rPr>
          <t>AF</t>
        </r>
        <r>
          <rPr>
            <sz val="14"/>
            <color indexed="81"/>
            <rFont val="Tahoma"/>
            <family val="2"/>
            <charset val="204"/>
          </rPr>
          <t>"&amp;ROW())&amp;Char(10)&amp;INDIRECT("AG"&amp;ROW())&amp;IF(INDIRECT("AE"&amp;ROW())="", "", Char(10)&amp;INDIRECT("AE"&amp;ROW()))&amp;IF(INDIRECT("AC"&amp;ROW())="", "", Char(10)&amp;INDIRECT("AC"&amp;ROW())&amp;" руб. "&amp;INDIRECT("AA"&amp;ROW())&amp;" ("&amp;INDIRECT("AI"&amp;ROW())&amp;" руб.)")&amp;IF(INDIRECT("AD"&amp;ROW())="", "", Char(10)&amp;INDIRECT("AD"&amp;ROW())&amp;" руб."&amp;INDIRECT("AB"&amp;ROW())&amp;" ("&amp;INDIRECT("AI"&amp;ROW())&amp;" руб.)")&amp;Char(10)&amp;Char(10)&lt;Пустой идентификатор&gt;</t>
        </r>
      </text>
    </comment>
    <comment ref="D19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&lt;Количество всего (физ. объем) по позиции&gt;
&lt;Формула расчета физ. объема&gt;</t>
        </r>
      </text>
    </comment>
    <comment ref="E19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&lt;ПЗ по позиции на единицу в базисных ценах с учетом всех к-тов&gt;</t>
        </r>
        <r>
          <rPr>
            <b/>
            <sz val="8"/>
            <color indexed="81"/>
            <rFont val="Tahoma"/>
            <family val="2"/>
            <charset val="204"/>
          </rPr>
          <t xml:space="preserve">
&lt;ОЗП по позиции на единицу в базисных ценах с учетом всех к-тов&gt;</t>
        </r>
      </text>
    </comment>
    <comment ref="F19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&lt;ЭММ по позиции на единицу в базисных ценах с учетом всех к-тов&gt;
&lt;ЗПМ по позиции на единицу в базисных ценах с учетом всех к-тов&gt;</t>
        </r>
      </text>
    </comment>
    <comment ref="G19" authorId="2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&lt;МАТ по позиции на единицу в базисных ценах с учетом всех к-тов&gt;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H19" authorId="4" shapeId="0">
      <text>
        <r>
          <rPr>
            <sz val="8"/>
            <color indexed="81"/>
            <rFont val="Tahoma"/>
            <family val="2"/>
            <charset val="204"/>
          </rPr>
          <t xml:space="preserve"> &lt;Наименование индекса к позиции&gt;: ОЗП=&lt;Индекс к позиции на ОЗП&gt;; ЭМ=&lt;Индекс к позиции на ЭМ&gt;; ЗПМ=&lt;Индекс к позиции на ЗПМ&gt;; МАТ=&lt;Индекс к позиции на МАТ&gt;
&lt;Дополнительные начисления к индексу&gt;</t>
        </r>
      </text>
    </comment>
    <comment ref="I19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&lt;Общая стоимость ПЗ по позиции для БИМ до начисления НР и СП&gt;
</t>
        </r>
      </text>
    </comment>
    <comment ref="J19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&lt;Общая стоимость ОЗП по позиции для БИМ до начисления НР и СП&gt;
</t>
        </r>
      </text>
    </comment>
    <comment ref="K19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&lt;Общая стоимость ЭММ по позиции для БИМ до начисления НР и СП&gt;
&lt;Общая стоимость ЗПМ по позиции для БИМ до начисления НР и СП&gt;</t>
        </r>
      </text>
    </comment>
    <comment ref="L19" authorId="2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=IF(&lt;Количество всего (физ. объем) по позиции&gt;*&lt;МАТ по позиции на единицу в базисных ценах с учетом всех к-тов&gt;=0," ",TEXT(,ROUND((&lt;Количество всего (физ. объем) по позиции&gt;*&lt;МАТ по позиции на единицу в базисных ценах с учетом всех к-тов&gt;*&lt;Индекс к позиции на МАТ&gt;),2)))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M19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&lt;ТЗ по позиции на единицу&gt;
&lt;ТЗМ по позиции на единицу&gt;</t>
        </r>
      </text>
    </comment>
    <comment ref="N19" authorId="2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&lt;ТЗ по позиции всего&gt;
&lt;ТЗМ по позиции всего&gt;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AA19" authorId="5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&lt;Строка задания НР для БИМ&gt;</t>
        </r>
      </text>
    </comment>
    <comment ref="AB19" authorId="5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&lt;Строка задания СП для БИМ&gt;</t>
        </r>
      </text>
    </comment>
    <comment ref="AC19" authorId="5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&lt;Сумма НР по позиции для БИМ&gt;</t>
        </r>
      </text>
    </comment>
    <comment ref="AD19" authorId="5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&lt;Сумма СП по позиции для БИМ&gt;</t>
        </r>
      </text>
    </comment>
    <comment ref="AE19" authorId="6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&lt;Обоснование коэффициентов&gt;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AF19" authorId="6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&lt;Наименование (текстовая часть) расценки&gt;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AG19" authorId="1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&lt;Ед. измерения по расценке&gt;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AH19" authorId="1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&lt;Формула расчета стоимости единицы&gt;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AI19" authorId="1" shapeId="0">
      <text>
        <r>
          <rPr>
            <sz val="8"/>
            <color indexed="81"/>
            <rFont val="Tahoma"/>
            <family val="2"/>
            <charset val="204"/>
          </rPr>
          <t xml:space="preserve"> =&lt;Общая стоимость ОЗП по позиции для БИМ до начисления НР и СП&gt;+&lt;Общая стоимость ЗПМ по позиции для БИМ до начисления НР и СП&gt;
</t>
        </r>
      </text>
    </comment>
    <comment ref="A170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&lt;Текстовая часть (итоги)&gt;</t>
        </r>
      </text>
    </comment>
    <comment ref="I170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&lt;Прямые затраты (итоги)&gt;</t>
        </r>
      </text>
    </comment>
    <comment ref="J170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&lt;З/п основных рабочих (итоги)&gt;</t>
        </r>
      </text>
    </comment>
    <comment ref="K170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&lt;Эксплуатация машин (итоги)&gt;
&lt;З/п машинистов (итоги)&gt;</t>
        </r>
      </text>
    </comment>
    <comment ref="L170" authorId="2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&lt;Материалы (итоги)&gt;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N170" authorId="2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&lt;Трудозатраты основных рабочих (итоги)&gt;
&lt;Трудозатраты машинистов (итоги)&gt;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200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______________&lt;Составил&gt;</t>
        </r>
      </text>
    </comment>
    <comment ref="F200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______________&lt;Проверил&gt;</t>
        </r>
      </text>
    </comment>
  </commentList>
</comments>
</file>

<file path=xl/sharedStrings.xml><?xml version="1.0" encoding="utf-8"?>
<sst xmlns="http://schemas.openxmlformats.org/spreadsheetml/2006/main" count="868" uniqueCount="552">
  <si>
    <t>Заказчик</t>
  </si>
  <si>
    <t>(наименование стройки)</t>
  </si>
  <si>
    <t>(локальная смета)</t>
  </si>
  <si>
    <t>№ пп</t>
  </si>
  <si>
    <t>Индекс</t>
  </si>
  <si>
    <t>СОГЛАСОВАНО:</t>
  </si>
  <si>
    <t>УТВЕРЖДАЮ:</t>
  </si>
  <si>
    <t>Подрядчик</t>
  </si>
  <si>
    <t>на единицу</t>
  </si>
  <si>
    <t>руб.</t>
  </si>
  <si>
    <t xml:space="preserve">Сметная стоимость </t>
  </si>
  <si>
    <t>осн.зарплата</t>
  </si>
  <si>
    <t>всего</t>
  </si>
  <si>
    <t>в т.ч. з/пл.</t>
  </si>
  <si>
    <t>экспл.маш.</t>
  </si>
  <si>
    <t>основная зарплата</t>
  </si>
  <si>
    <t>материалы</t>
  </si>
  <si>
    <t>Шифр и номер позиции и норматива</t>
  </si>
  <si>
    <t>Коли- чество</t>
  </si>
  <si>
    <t>Затраты труда рабочих, чел.-ч, не занятых обсл.машин</t>
  </si>
  <si>
    <t>Средства  на оплату труда</t>
  </si>
  <si>
    <t xml:space="preserve">       (наименование работ и затрат, наименование объекта)</t>
  </si>
  <si>
    <t>Наименование работ и затрат, единица измерения</t>
  </si>
  <si>
    <r>
      <t xml:space="preserve">Стоимость единицы                                        </t>
    </r>
    <r>
      <rPr>
        <i/>
        <sz val="10"/>
        <rFont val="Times New Roman"/>
        <family val="1"/>
        <charset val="204"/>
      </rPr>
      <t>(в базисном уровне цен с учетом всех коэффициентов к позиции)</t>
    </r>
  </si>
  <si>
    <r>
      <t xml:space="preserve">Общая стоимость                                                                    </t>
    </r>
    <r>
      <rPr>
        <i/>
        <sz val="10"/>
        <rFont val="Times New Roman"/>
        <family val="1"/>
        <charset val="204"/>
      </rPr>
      <t>(в текущем уровне цен)</t>
    </r>
  </si>
  <si>
    <t xml:space="preserve">
ИНН/КПП /</t>
  </si>
  <si>
    <t>ЛОКАЛЬНЫЙ СМЕТНЫЙ РАСЧЕТ №  02-01-01</t>
  </si>
  <si>
    <t>Основание:  проект АС</t>
  </si>
  <si>
    <t>Проверил:____________________________</t>
  </si>
  <si>
    <t xml:space="preserve">                           Раздел 1. Демонтажные работы</t>
  </si>
  <si>
    <t>ФЕР46-04-008-04</t>
  </si>
  <si>
    <t>154,66
124,02</t>
  </si>
  <si>
    <t>46.70 Разборка покрытий кровель: ОЗП=16,45; ЭМ=2,99; ЗПМ=16,45</t>
  </si>
  <si>
    <t>НР 84%=110%*(0,85*0,9) от ФОТ</t>
  </si>
  <si>
    <t>СП 48%=70%*(0,8*0,85) от ФОТ</t>
  </si>
  <si>
    <t>Разборка покрытий кровель: из волнистых и полуволнистых асбестоцементных листов</t>
  </si>
  <si>
    <t>100 м2 покрытия</t>
  </si>
  <si>
    <t>ФЕР46-04-008-02</t>
  </si>
  <si>
    <t>79,44
66,92</t>
  </si>
  <si>
    <t>Разборка покрытий кровель: из листовой стали</t>
  </si>
  <si>
    <t>ФЕРр58-3-1</t>
  </si>
  <si>
    <t>1,422
0,486+0,936</t>
  </si>
  <si>
    <t>71,18
70,98</t>
  </si>
  <si>
    <t>84.3 Разборка мелких покрытий и обделок из листовой стали: ОЗП=16,45; ЭМ=4,75; ЗПМ=16,45</t>
  </si>
  <si>
    <t>НР 71%=83%*0,85 от ФОТ</t>
  </si>
  <si>
    <t>СП 52%=65%*0,8 от ФОТ</t>
  </si>
  <si>
    <t>Разборка мелких покрытий и обделок из листовой стали: поясков, сандриков, желобов, отливов, свесов и т.п.</t>
  </si>
  <si>
    <t>100 м труб и покрытий</t>
  </si>
  <si>
    <t>ФЕРр58-2-2</t>
  </si>
  <si>
    <t>2466,21
2455,84</t>
  </si>
  <si>
    <t>84.2 Разборка слуховых окон: ОЗП=16,45; ЭМ=4,64; ЗПМ=16,45</t>
  </si>
  <si>
    <t>Разборка слуховых окон: прямоугольных односкатных</t>
  </si>
  <si>
    <t>100 окон</t>
  </si>
  <si>
    <t>ФЕРр58-1-1</t>
  </si>
  <si>
    <t>160,11
120,37</t>
  </si>
  <si>
    <t>39,74
6,21</t>
  </si>
  <si>
    <t>84.1 Разборка деревянных элементов конструкций крыш: ОЗП=16,45; ЭМ=12,02; ЗПМ=16,45</t>
  </si>
  <si>
    <t>4159
888</t>
  </si>
  <si>
    <t>15,16
0,46</t>
  </si>
  <si>
    <t>132,04
4,01</t>
  </si>
  <si>
    <t>Разборка деревянных элементов конструкций крыш: обрешетки из брусков с прозорами</t>
  </si>
  <si>
    <t>100 м2 кровли</t>
  </si>
  <si>
    <t>ФЕРр58-1-2</t>
  </si>
  <si>
    <t>208,54
183,48</t>
  </si>
  <si>
    <t>25,06
3,92</t>
  </si>
  <si>
    <t>2620
559</t>
  </si>
  <si>
    <t>22,68
0,29</t>
  </si>
  <si>
    <t>197,54
2,53</t>
  </si>
  <si>
    <t>Разборка деревянных элементов конструкций крыш: стропил со стойками и подкосами из досок</t>
  </si>
  <si>
    <t>ФЕРр58-1-4</t>
  </si>
  <si>
    <t>76,77
53,44</t>
  </si>
  <si>
    <t>23,33
3,65</t>
  </si>
  <si>
    <t>2440
526</t>
  </si>
  <si>
    <t>6,73
0,27</t>
  </si>
  <si>
    <t>58,62
2,35</t>
  </si>
  <si>
    <t>Разборка деревянных элементов конструкций крыш: мауэрлатов</t>
  </si>
  <si>
    <t>ФЕР12-01-012-01
ОЗП=0,7
ЭМ=0,7
ЗПМ=0,7
МАТ=0
ТЗ=0,7
ТЗМ=0,7</t>
  </si>
  <si>
    <t>80,14
41,37</t>
  </si>
  <si>
    <t>38,77
2,74</t>
  </si>
  <si>
    <t>12.29. Ограждение кровель перилами: ОЗП=16,45; ЭМ=9,92; ЗПМ=16,45; МАТ=7,67</t>
  </si>
  <si>
    <t>526
66</t>
  </si>
  <si>
    <t>4,67
0,2</t>
  </si>
  <si>
    <t>6,42
0,28</t>
  </si>
  <si>
    <t>НР 92%=120%*(0,85*0,9) от ФОТ</t>
  </si>
  <si>
    <t>СП 44%=65%*(0,8*0,85) от ФОТ</t>
  </si>
  <si>
    <t>КОЭФ. К ПОЗИЦИИ:
Демонтаж (разборка) металлических конструкций ОЗП=0,7; ЭМ=0,7 к расх.; ЗПМ=0,7; МАТ=0 к расх.; ТЗ=0,7; ТЗМ=0,7</t>
  </si>
  <si>
    <t>Демонтаж ограждения кровель перилами</t>
  </si>
  <si>
    <t>100 м ограждения</t>
  </si>
  <si>
    <t>ФЕР46-04-008-01</t>
  </si>
  <si>
    <t>153,59
112,16</t>
  </si>
  <si>
    <t>Разборка покрытий кровель: из рулонных материалов</t>
  </si>
  <si>
    <t>ФЕРр69-15-1</t>
  </si>
  <si>
    <t>69,564
115,94*0,6</t>
  </si>
  <si>
    <t>23,81
7,41</t>
  </si>
  <si>
    <t>94.26 Затаривание строительного мусора в мешки: ОЗП=16,45; МАТ=7,38</t>
  </si>
  <si>
    <t>НР 66%=78%*0,85 от ФОТ</t>
  </si>
  <si>
    <t>СП 40%=50%*0,8 от ФОТ</t>
  </si>
  <si>
    <t>Затаривание строительного мусора в мешки Шлак</t>
  </si>
  <si>
    <t>1 т</t>
  </si>
  <si>
    <t>ФЕРр65-2-3</t>
  </si>
  <si>
    <t>958,29
943,29</t>
  </si>
  <si>
    <t>15
6,48</t>
  </si>
  <si>
    <t>90.2 Разборка трубопроводов из чугунных канализационных труб: ОЗП=16,45; ЭМ=7,19; ЗПМ=16,45</t>
  </si>
  <si>
    <t>58
49</t>
  </si>
  <si>
    <t>111,5
0,48</t>
  </si>
  <si>
    <t>56,87
0,24</t>
  </si>
  <si>
    <t>НР 63%=74%*0,85 от ФОТ</t>
  </si>
  <si>
    <t>Разборка трубопроводов из чугунных канализационных труб диаметром: 150 мм</t>
  </si>
  <si>
    <t>100 м трубопровода с фасонными частями</t>
  </si>
  <si>
    <t>ФЕР46-04-009-01</t>
  </si>
  <si>
    <t>291,32
81</t>
  </si>
  <si>
    <t>210,32
22,74</t>
  </si>
  <si>
    <t>46.71 Разборка бетонных оснований под полы: ОЗП=16,45; ЭМ=7,36; ЗПМ=16,45</t>
  </si>
  <si>
    <t>316
82</t>
  </si>
  <si>
    <t>8,93
2,26</t>
  </si>
  <si>
    <t>1,82
0,46</t>
  </si>
  <si>
    <t>Разборка бетонных оснований под полы: на гравии</t>
  </si>
  <si>
    <t>1 м3</t>
  </si>
  <si>
    <t>Итого прямые затраты по разделу в ценах 2001г.</t>
  </si>
  <si>
    <t>1191
132</t>
  </si>
  <si>
    <t>715,33
9,87</t>
  </si>
  <si>
    <t>Итого прямые затраты по разделу с учетом индексов, в текущих ценах</t>
  </si>
  <si>
    <t>11078
2170</t>
  </si>
  <si>
    <t>Накладные расходы</t>
  </si>
  <si>
    <t>Сметная прибыль</t>
  </si>
  <si>
    <t>Итого по разделу 1 Демонтажные работы</t>
  </si>
  <si>
    <t xml:space="preserve">                           Раздел 2. Чердак</t>
  </si>
  <si>
    <t>ФЕР08-02-003-03</t>
  </si>
  <si>
    <t>933,48
74,54</t>
  </si>
  <si>
    <t>36,29
5,67</t>
  </si>
  <si>
    <t>8.17. Кладка из кирпича конструкций: ОЗП=16,45; ЭМ=11,97; ЗПМ=16,45; МАТ=4,63</t>
  </si>
  <si>
    <t>994
214</t>
  </si>
  <si>
    <t>7,93
0,42</t>
  </si>
  <si>
    <t>14,51
0,77</t>
  </si>
  <si>
    <t>НР 93%=122%*(0,85*0,9) от ФОТ</t>
  </si>
  <si>
    <t>СП 54%=80%*(0,8*0,85) от ФОТ</t>
  </si>
  <si>
    <t>Кладка из кирпича: столбов прямоугольных неармированных при высоте этажа до 4 м</t>
  </si>
  <si>
    <t>1 м3 кладки</t>
  </si>
  <si>
    <t>ФЕРр58-13-1</t>
  </si>
  <si>
    <t>924,81
36,25</t>
  </si>
  <si>
    <t>84.34 Устройство покрытия из рулонных материалов: насухо без промазки кромок: ОЗП=16,45; ЭМ=11,42; ЗПМ=16,45; МАТ=5</t>
  </si>
  <si>
    <t>Устройство покрытия из рулонных материалов: насухо без промазки кромок</t>
  </si>
  <si>
    <t>ФССЦ-101-0852</t>
  </si>
  <si>
    <t>Рубероид кровельный с крупнозернистой посыпкой марки: РКК-350б; МАТ=4,999</t>
  </si>
  <si>
    <t>Рубероид кровельный с крупнозернистой посыпкой марки: РКК-350б</t>
  </si>
  <si>
    <t>м2</t>
  </si>
  <si>
    <t>ФССЦ-104-9221-90002</t>
  </si>
  <si>
    <t>Индекс на материалы; МАТ=5,58</t>
  </si>
  <si>
    <t>Изоспан: Двухслойная паропроницаемая мембрана марки В 13,60/5,58=2,44</t>
  </si>
  <si>
    <t>ФЕР12-01-013-03
МАТ=0</t>
  </si>
  <si>
    <t>565,34
433,09</t>
  </si>
  <si>
    <t>132,25
7,43</t>
  </si>
  <si>
    <t>12.31. Утепление покрытий плитами: из минеральной ваты или перлита на битумной мастике: ОЗП=16,45; ЭМ=9,01; ЗПМ=16,45; МАТ=6,8</t>
  </si>
  <si>
    <t>9596
987</t>
  </si>
  <si>
    <t>45,54
0,55</t>
  </si>
  <si>
    <t>293,32
3,54</t>
  </si>
  <si>
    <t>КОЭФ. К ПОЗИЦИИ:
материалы МАТ=0 к расх.</t>
  </si>
  <si>
    <t>Утепление покрытий плитами: из минеральной ваты или перлита на битумной мастике в один слой</t>
  </si>
  <si>
    <t>100 м2 утепляемого покрытия</t>
  </si>
  <si>
    <t>ФСЭМ-121011</t>
  </si>
  <si>
    <t>Котлы битумные передвижные 400 л; ЭМ=5,43</t>
  </si>
  <si>
    <t>НР 0% от ФОТ</t>
  </si>
  <si>
    <t>СП 0% от ФОТ</t>
  </si>
  <si>
    <t>Котлы битумные передвижные 400 л</t>
  </si>
  <si>
    <t>маш.-ч</t>
  </si>
  <si>
    <t>ФЕР12-01-013-04
ПЗ=2
ОЗП=2
ЭМ=2
ЗПМ=2
МАТ=2*0
ТЗ=2
ТЗМ=2</t>
  </si>
  <si>
    <t>923,74
670,64</t>
  </si>
  <si>
    <t>253,1
14,86</t>
  </si>
  <si>
    <t>18362
1974</t>
  </si>
  <si>
    <t>70,52
1,1</t>
  </si>
  <si>
    <t>454,22
7,09</t>
  </si>
  <si>
    <t>КОЭФ. К ПОЗИЦИИ:
Всего толщ. 150 мм ПЗ=2 (ОЗП=2; ЭМ=2 к расх.; ЗПМ=2; МАТ=2 к расх.; ТЗ=2; ТЗМ=2);
материалы МАТ=0 к расх.</t>
  </si>
  <si>
    <t>Утепление покрытий плитами: на каждый последующий слой добавлять к расценке 12-01-013-03</t>
  </si>
  <si>
    <t>3874
411</t>
  </si>
  <si>
    <t>95,91
1,5</t>
  </si>
  <si>
    <t>КОЭФ. К ПОЗИЦИИ:
За 2 раза ПЗ=2 (ОЗП=2; ЭМ=2 к расх.; ЗПМ=2; МАТ=2 к расх.; ТЗ=2; ТЗМ=2);
материалы МАТ=0 к расх.</t>
  </si>
  <si>
    <t>ФССЦ-104-9100-91004</t>
  </si>
  <si>
    <t>113,52
99,51+14,01</t>
  </si>
  <si>
    <t>Плиты теплоизоляционные энергетические гидрофобизированные базальтовые: ПТЭ-125 , размером 2000х1000х50 мм 3828,81/5,58=686,17</t>
  </si>
  <si>
    <t>м3</t>
  </si>
  <si>
    <t>ФССЦ-104-9221-90001</t>
  </si>
  <si>
    <t>Изоспан: Защитный материал марки А 19,42/5,58=3,48</t>
  </si>
  <si>
    <t>ФЕР10-01-023-01</t>
  </si>
  <si>
    <t>1051,44
31,84</t>
  </si>
  <si>
    <t>12,45
1,08</t>
  </si>
  <si>
    <t>10.54. Укладка ходовых досок: ОЗП=16,45; ЭМ=10,88; ЗПМ=16,45; МАТ=5,34</t>
  </si>
  <si>
    <t>174
16</t>
  </si>
  <si>
    <t>3,8
0,08</t>
  </si>
  <si>
    <t>4,07
0,09</t>
  </si>
  <si>
    <t>НР 90%=118%*(0,85*0,9) от ФОТ</t>
  </si>
  <si>
    <t>СП 43%=63%*(0,8*0,85) от ФОТ</t>
  </si>
  <si>
    <t>Укладка ходовых досок</t>
  </si>
  <si>
    <t>100 м ходов</t>
  </si>
  <si>
    <t>ФССЦ-102-0077</t>
  </si>
  <si>
    <t>Доски необрезные хвойных пород длиной: 4-6,5 м, все ширины, толщиной 32-40 мм, III сорта; МАТ=5,359</t>
  </si>
  <si>
    <t>Доски необрезные хвойных пород длиной: 4-6,5 м, все ширины, толщиной 32-40 мм, III сорта добор до проектного объема</t>
  </si>
  <si>
    <t>ФССЦ-102-0060</t>
  </si>
  <si>
    <t>Доски обрезные хвойных пород длиной 4-6,5 м, шириной 75-150 мм, толщиной 44 мм и более, II сорта; МАТ=4,156</t>
  </si>
  <si>
    <t>Доски обрезные хвойных пород длиной: 4-6,5 м, шириной 75-150 мм, толщиной 44 мм и более, II сорта</t>
  </si>
  <si>
    <t>ФЕР10-01-010-01
прим. лесница к слуховым окнам</t>
  </si>
  <si>
    <t>2411,06
188,55</t>
  </si>
  <si>
    <t>10.18. Установка деревянных элементов каркаса: ОЗП=16,45; ЭМ=11,08; ЗПМ=16,45; МАТ=3,37</t>
  </si>
  <si>
    <t>Установка элементов каркаса: из брусьев</t>
  </si>
  <si>
    <t>1 м3 древесины в конструкции</t>
  </si>
  <si>
    <t>ФЕР09-06-001-01</t>
  </si>
  <si>
    <t>931,53
763,35</t>
  </si>
  <si>
    <t>131,61
6,62</t>
  </si>
  <si>
    <t>9.75 Монтаж дверей, люков, подвесных путей из полосовой стали и труб; лотков решеток, стеллажей из стали различного профиля: ОЗП=16,45; ЭМ=8,39; ЗПМ=16,45; МАТ=5,35</t>
  </si>
  <si>
    <t>218
16</t>
  </si>
  <si>
    <t>89,49
0,49</t>
  </si>
  <si>
    <t>14,32
0,08</t>
  </si>
  <si>
    <t>НР 69%=90%*(0,85*0,9) от ФОТ</t>
  </si>
  <si>
    <t>СП 58%=85%*(0,8*0,85) от ФОТ</t>
  </si>
  <si>
    <t>Монтаж: конструкций дверей, люков, лазов для автокоптилок и пароварочных камер</t>
  </si>
  <si>
    <t>1 т конструкций</t>
  </si>
  <si>
    <t>ФССЦ-301-0271-00023</t>
  </si>
  <si>
    <t>Люки противопожарные: ЛПМ 01/60, 800х800 мм Вес люка  78 кг 7790,05/5,58=1396,07</t>
  </si>
  <si>
    <t>шт.</t>
  </si>
  <si>
    <t>1874
176</t>
  </si>
  <si>
    <t>942,38
13,07</t>
  </si>
  <si>
    <t>Итого прямые затраты по разделу с учетом коэффициентов к итогам</t>
  </si>
  <si>
    <t>2325
220</t>
  </si>
  <si>
    <t>1074,18
16,34</t>
  </si>
  <si>
    <t xml:space="preserve">  В том числе, справочно:</t>
  </si>
  <si>
    <t xml:space="preserve">   При ремонте и реконструкции зданий и сооружений работы, аналогичные технологическим процессам в новом строительстве ОЗП=1,15; ЭМ-ЗПМ=1,25; ЗПМ=1,25; ТЗ=1,15; ТЗМ=1,25  (Поз. 13, 17, 19, 21, 18, 20, 22, 27, 30-31)</t>
  </si>
  <si>
    <t>450
44</t>
  </si>
  <si>
    <t>131,79
3,2675</t>
  </si>
  <si>
    <t>26446
3618</t>
  </si>
  <si>
    <t>Итого по разделу 2 Чердак</t>
  </si>
  <si>
    <t xml:space="preserve">                           Раздел 3. Крыша</t>
  </si>
  <si>
    <t>ФЕР10-01-002-01</t>
  </si>
  <si>
    <t>2300,67
200,19</t>
  </si>
  <si>
    <t>38,22
2,03</t>
  </si>
  <si>
    <t>10.4. Установка стропил: ОЗП=16,45; ЭМ=10,79; ЗПМ=16,45; МАТ=3,71</t>
  </si>
  <si>
    <t>18019
1464</t>
  </si>
  <si>
    <t>24,09
0,15</t>
  </si>
  <si>
    <t>841,87
5,24</t>
  </si>
  <si>
    <t>Установка стропил</t>
  </si>
  <si>
    <t>ФЕРр58-12-1</t>
  </si>
  <si>
    <t>3,557
5,267-1,71</t>
  </si>
  <si>
    <t>2492,19
252,73</t>
  </si>
  <si>
    <t>40,78
5,94</t>
  </si>
  <si>
    <t>84.30 Устройство обрешетки сплошной из досок: ОЗП=16,45; ЭМ=10; ЗПМ=16,45; МАТ=5,51</t>
  </si>
  <si>
    <t>1450
345</t>
  </si>
  <si>
    <t>31,83
0,44</t>
  </si>
  <si>
    <t>113,22
1,57</t>
  </si>
  <si>
    <t>Устройство обрешетки сплошной из досок</t>
  </si>
  <si>
    <t>100 м2</t>
  </si>
  <si>
    <t>ФССЦ-102-0073</t>
  </si>
  <si>
    <t>Доски необрезные хвойных пород длиной: 4-6,5 м, все ширины, толщиной 25 мм, III сорта; МАТ=5,635</t>
  </si>
  <si>
    <t>Доски необрезные хвойных пород длиной: 4-6,5 м, все ширины, толщиной 25 мм, III сорта</t>
  </si>
  <si>
    <t>ФЕРр58-12-2</t>
  </si>
  <si>
    <t>1766,82
169,52</t>
  </si>
  <si>
    <t>26,57
4,32</t>
  </si>
  <si>
    <t>84.31 Устройство обрешетки с прозорами из досок и брусков под кровлю: из листовой стали: ОЗП=16,45; ЭМ=9,83; ЗПМ=16,45; МАТ=5,25</t>
  </si>
  <si>
    <t>895
247</t>
  </si>
  <si>
    <t>21,35
0,32</t>
  </si>
  <si>
    <t>73,51
1,1</t>
  </si>
  <si>
    <t>Устройство обрешетки с прозорами из досок и брусков под кровлю: из листовой стали</t>
  </si>
  <si>
    <t>Доски необрезные хвойных пород длиной: 4-6,5 м, все ширины, толщиной 32-40 мм, III сорта</t>
  </si>
  <si>
    <t>ФССЦ-104-9221-90004</t>
  </si>
  <si>
    <t>Изоспан: Защитный материал марки D  18,31/5,58=3,28</t>
  </si>
  <si>
    <t>ФЕР10-01-003-01</t>
  </si>
  <si>
    <t>378,81
56,55</t>
  </si>
  <si>
    <t>22,06
1,49</t>
  </si>
  <si>
    <t>10.5. Устройство слуховых окон: ОЗП=16,45; ЭМ=10,98; ЗПМ=16,45; МАТ=5,3</t>
  </si>
  <si>
    <t>911
82</t>
  </si>
  <si>
    <t>6,63
0,11</t>
  </si>
  <si>
    <t>19,89
0,33</t>
  </si>
  <si>
    <t>Устройство слуховых окон</t>
  </si>
  <si>
    <t>1 слуховое окно</t>
  </si>
  <si>
    <t>ФССЦ-101-2007</t>
  </si>
  <si>
    <t>Петли форточные накладные размером 70x55 мм; МАТ=2,337</t>
  </si>
  <si>
    <t>Петли форточные накладные размером 70х55 мм</t>
  </si>
  <si>
    <t>компл.</t>
  </si>
  <si>
    <t>ФССЦ-101-2001</t>
  </si>
  <si>
    <t>Шпингалеты дверные размером 230x26 мм, оцинкованные или окрашенные; МАТ=1,941</t>
  </si>
  <si>
    <t>Шпингалеты дверные размером 230х26 мм, оцинкованные или окрашенные</t>
  </si>
  <si>
    <t>ФЕР10-01-091-01</t>
  </si>
  <si>
    <t>263,84
47,94</t>
  </si>
  <si>
    <t>39,73
0,46</t>
  </si>
  <si>
    <t>10.149 Антисептическая обработка деревянных конструкций составом 'Пирилакс': ОЗП=16,45; ЭМ=11,17; ЗПМ=16,45; МАТ=10,78</t>
  </si>
  <si>
    <t>19559
329</t>
  </si>
  <si>
    <t>5,1
0,04</t>
  </si>
  <si>
    <t>179,88
1,41</t>
  </si>
  <si>
    <t>Антисептическая обработка деревянных конструкций составом "Пирилакс" при помощи аппарата аэрозольно-капельного распыления</t>
  </si>
  <si>
    <t>100 м2 обрабатываемой поверхности</t>
  </si>
  <si>
    <t>ФЕР12-01-023-02</t>
  </si>
  <si>
    <t>10417,47
356,23</t>
  </si>
  <si>
    <t>115,24
10,67</t>
  </si>
  <si>
    <t>12.51. Устройство кровли из металлочерепицы (с отделочным покрытием): ОЗП=16,45; ЭМ=11,1; ЗПМ=16,45; МАТ=3,6</t>
  </si>
  <si>
    <t>13697
1875</t>
  </si>
  <si>
    <t>41,23
0,79</t>
  </si>
  <si>
    <t>353,26
6,77</t>
  </si>
  <si>
    <t>Устройство кровли из металлочерепицы по готовым прогонам: средней сложности</t>
  </si>
  <si>
    <t>ФССЦ-101-4136</t>
  </si>
  <si>
    <t>Металлочерепица «Монтеррей»; МАТ=3,818</t>
  </si>
  <si>
    <t>Металлочерепица «Монтеррей»</t>
  </si>
  <si>
    <t>ФССЦ-101-3845</t>
  </si>
  <si>
    <t>Профилированный лист оцинкованный: НС44-1000-0,7; МАТ=4,286</t>
  </si>
  <si>
    <t>Профилированный лист оцинкованный: НС44-1000-0,7</t>
  </si>
  <si>
    <t>т</t>
  </si>
  <si>
    <t>ФССЦ-101-2778</t>
  </si>
  <si>
    <t>Сталь листовая оцинкованная толщиной листа: 0,5 мм; МАТ=5,436</t>
  </si>
  <si>
    <t>Сталь листовая оцинкованная толщиной листа: 0,5 мм</t>
  </si>
  <si>
    <t>ФССЦ-101-4127</t>
  </si>
  <si>
    <t>Дополнительные элементы металлочерепичной кровли: заглушка коньковая из оцинкованной стали; МАТ=4,949</t>
  </si>
  <si>
    <t>Дополнительные элементы металлочерепичной кровли: заглушка коньковая из оцинкованной стали</t>
  </si>
  <si>
    <t>ФЕР09-05-006-01</t>
  </si>
  <si>
    <t>3,6
3,05</t>
  </si>
  <si>
    <t>9.74 Резка стального профилированного настила: ОЗП=16,45; ЭМ=2,22; ЗПМ=16,45</t>
  </si>
  <si>
    <t>Резка стального профилированного настила</t>
  </si>
  <si>
    <t>1 м реза</t>
  </si>
  <si>
    <t>ФЕР12-01-009-01</t>
  </si>
  <si>
    <t>18952,69
722,92</t>
  </si>
  <si>
    <t>296,15
28,49</t>
  </si>
  <si>
    <t>12.26. Устройство желобов: ОЗП=16,45; ЭМ=11,44; ЗПМ=16,45; МАТ=4,06</t>
  </si>
  <si>
    <t>5789
806</t>
  </si>
  <si>
    <t>84,75
2,11</t>
  </si>
  <si>
    <t>115,94
2,89</t>
  </si>
  <si>
    <t>Устройство желобов: настенных</t>
  </si>
  <si>
    <t>100 м желобов</t>
  </si>
  <si>
    <t>ФССЦ-102-0121</t>
  </si>
  <si>
    <t>Доски обрезные хвойных пород длиной: 2-3,75 м, шириной 75-150 мм, толщиной 44 мм и более, III сорта; МАТ=5,578</t>
  </si>
  <si>
    <t>Доски обрезные хвойных пород длиной: 2-3,75 м, шириной 75-150 мм, толщиной 44 мм и более, III сорта</t>
  </si>
  <si>
    <t>ФССЦ-101-1875</t>
  </si>
  <si>
    <t>Сталь листовая оцинкованная толщиной листа:0,7 мм; МАТ=3,663</t>
  </si>
  <si>
    <t>Сталь листовая оцинкованная толщиной листа: 0,7 мм</t>
  </si>
  <si>
    <t>ФССЦ-101-3741</t>
  </si>
  <si>
    <t>Сталь листовая оцинкованная толщиной листа: 0,55 мм; МАТ=3,919</t>
  </si>
  <si>
    <t>Сталь листовая оцинкованная толщиной листа: 0,55 мм</t>
  </si>
  <si>
    <t>ФЕР12-01-010-01</t>
  </si>
  <si>
    <t>9875,72
961,76</t>
  </si>
  <si>
    <t>23,38
2,7</t>
  </si>
  <si>
    <t>12.27. Устройство мелких покрытий (брандмауэры, парапеты, свесы и т.п.) из листовой оцинкованной стали: ОЗП=16,45; ЭМ=11,87; ЗПМ=16,45; МАТ=3,66</t>
  </si>
  <si>
    <t>1080
165</t>
  </si>
  <si>
    <t>112,75
0,2</t>
  </si>
  <si>
    <t>350,3
0,62</t>
  </si>
  <si>
    <t>Устройство мелких покрытий (брандмауэры, парапеты, свесы и т.п.) из листовой оцинкованной стали</t>
  </si>
  <si>
    <t>ФЕР12-01-012-01</t>
  </si>
  <si>
    <t>3147,39
59,1</t>
  </si>
  <si>
    <t>55,38
3,92</t>
  </si>
  <si>
    <t>942
99</t>
  </si>
  <si>
    <t>6,67
0,29</t>
  </si>
  <si>
    <t>9,12
0,4</t>
  </si>
  <si>
    <t>Ограждение кровель перилами</t>
  </si>
  <si>
    <t>ФССЦ-201-0777</t>
  </si>
  <si>
    <t>Конструктивные элементы вспомогательного назначения, с преобладанием профильного проката: собираемые из двух и более деталей, с отверстиями и без, соединяемые на сварке; МАТ=7,691</t>
  </si>
  <si>
    <t>Конструктивные элементы вспомогательного назначения: с преобладанием профильного проката собираемые из двух и более деталей, с отверстиями и без отверстий, соединяемые на сварке добор до проектного объема</t>
  </si>
  <si>
    <t>932
99</t>
  </si>
  <si>
    <t>9
0,39</t>
  </si>
  <si>
    <t>Снегозадержатели</t>
  </si>
  <si>
    <t>Конструктивные элементы вспомогательного назначения: с преобладанием профильного проката собираемые из двух и более деталей, с отверстиями и без отверстий, соединяемые на сварке</t>
  </si>
  <si>
    <t>Прайс  МеталлПрофиль</t>
  </si>
  <si>
    <t>Снегозадержатель длиной 3000 мм 1800/1,18/3/5,58=91,12</t>
  </si>
  <si>
    <t>м</t>
  </si>
  <si>
    <t>337
49</t>
  </si>
  <si>
    <t>3,27
0,14</t>
  </si>
  <si>
    <t>Страховочный трос</t>
  </si>
  <si>
    <t>Конструктивные элементы вспомогательного назначения с преобладанием профильного проката собираемые из двух и более деталей, с отверстиями и без отверстий, соединяемые на сварке</t>
  </si>
  <si>
    <t>ФССЦ-509-0801</t>
  </si>
  <si>
    <t>Трос стальной; МАТ=6,918</t>
  </si>
  <si>
    <t>Трос стальной</t>
  </si>
  <si>
    <t>ФССЦ-201-0778</t>
  </si>
  <si>
    <t>0,00153
0,00009*17</t>
  </si>
  <si>
    <t>Прочие индивидуальные сварные конструкции, масса сбор.единицы до 0.1 т; МАТ=6,995</t>
  </si>
  <si>
    <t>Прочие индивидуальные сварные конструкции, масса сборочной единицы до 0,1 т</t>
  </si>
  <si>
    <t>0,7
0,03</t>
  </si>
  <si>
    <t>Устройство переходных лестниц  на кровле</t>
  </si>
  <si>
    <t>Лестница кровельная длиной 1860 мм 2200/1,18/1,86/5,58=179,64</t>
  </si>
  <si>
    <t>0,0375
0,0125*3</t>
  </si>
  <si>
    <t>0,25
0,01</t>
  </si>
  <si>
    <t>Устройство переходных мостиков  на кровле</t>
  </si>
  <si>
    <t>Прайс  Руффо</t>
  </si>
  <si>
    <t>Переходный мостик 1250 мм 2250/1,18/5,58=341,72</t>
  </si>
  <si>
    <t>шт</t>
  </si>
  <si>
    <t>ФЕРр58-15-1</t>
  </si>
  <si>
    <t>529,88
521,86</t>
  </si>
  <si>
    <t>84.42 Перенавеска водосточных труб: ОЗП=16,45; МАТ=3,39</t>
  </si>
  <si>
    <t>Перенавеска водосточных труб: с земли, лестниц или подмостей</t>
  </si>
  <si>
    <t>100 м труб</t>
  </si>
  <si>
    <t>ФЕРр58-15-2</t>
  </si>
  <si>
    <t>947,19
939,17</t>
  </si>
  <si>
    <t>Перенавеска водосточных труб: с люлек</t>
  </si>
  <si>
    <t>ФССЦ-201-1101</t>
  </si>
  <si>
    <t>Звенья водосточных труб из оцинкованной стали толщиной 0,55 мм, диаметром 140 мм, марка ТВ-140; МАТ=2,653</t>
  </si>
  <si>
    <t>Звенья водосточных труб из оцинкованной стали толщиной 0,55 мм, диаметром 140 мм, марка ТВ-140</t>
  </si>
  <si>
    <t>ФССЦ-301-1104</t>
  </si>
  <si>
    <t>Воронка водосточная из оцинкованной стали толщиной 0,55 диаметром 215 мм; МАТ=2,998</t>
  </si>
  <si>
    <t>Воронка водосточная из оцинкованной стали толщиной 0,55 диаметром 215 мм</t>
  </si>
  <si>
    <t>ФССЦ-201-1102</t>
  </si>
  <si>
    <t>Колено из оцинкованной стали толщиной 0,55 мм, диаметром 140 мм, марка ТВ-140; МАТ=4,013</t>
  </si>
  <si>
    <t>Колено из оцинкованной стали толщиной 0,55 мм, диаметром 140 мм, марка ТВ-140</t>
  </si>
  <si>
    <t>ФССЦ-201-1103</t>
  </si>
  <si>
    <t>Отливы (отметы) из оцинкованной стали толщиной 0,55 мм диаметром 140 мм; МАТ=3,9</t>
  </si>
  <si>
    <t>Отливы (отметы) из оцинкованной стали толщиной 0,55 мм диаметром 140 мм</t>
  </si>
  <si>
    <t>ФССЦ-101-0782</t>
  </si>
  <si>
    <t>0,1872
1,8*104/1000</t>
  </si>
  <si>
    <t>Поковки из квадратных заготовок, масса: 1,8 кг; МАТ=4,267</t>
  </si>
  <si>
    <t>Поковки из квадратных заготовок, масса 1,8 кг</t>
  </si>
  <si>
    <t>4749
277</t>
  </si>
  <si>
    <t>2249,64
20,9</t>
  </si>
  <si>
    <t>5866
338</t>
  </si>
  <si>
    <t>2533,38
25,45</t>
  </si>
  <si>
    <t xml:space="preserve">   При ремонте и реконструкции зданий и сооружений работы, аналогичные технологическим процессам в новом строительстве ОЗП=1,15; ЭМ-ЗПМ=1,25; ЗПМ=1,25; ТЗ=1,15; ТЗМ=1,25  (Поз. 33, 43, 46-47, 53, 58, 61, 63, 66, 70, 73, 52)</t>
  </si>
  <si>
    <t>1117
60</t>
  </si>
  <si>
    <t>283,746
4,5575</t>
  </si>
  <si>
    <t>64272
5560</t>
  </si>
  <si>
    <t>Итого по разделу 3 Крыша</t>
  </si>
  <si>
    <t xml:space="preserve">                           Раздел 4. Вентиляционные шахты</t>
  </si>
  <si>
    <t>ФЕР10-01-010-01</t>
  </si>
  <si>
    <t>ФЕР26-01-036-01</t>
  </si>
  <si>
    <t>247,16
132,33</t>
  </si>
  <si>
    <t>9,38
0,41</t>
  </si>
  <si>
    <t>26.40 Изоляция изделиями из волокнистых и зернистых материалов с креплением на клее и дюбелями холодных поверхностей: наружных стен: ОЗП=16,45; ЭМ=9,37; ЗПМ=16,45; МАТ=1,42</t>
  </si>
  <si>
    <t>169
16</t>
  </si>
  <si>
    <t>16,06
0,03</t>
  </si>
  <si>
    <t>23,32
0,04</t>
  </si>
  <si>
    <t>НР 77%=100%*(0,85*0,9) от ФОТ</t>
  </si>
  <si>
    <t>Изоляция изделиями из волокнистых и зернистых материалов с креплением на клее и дюбелями холодных поверхностей: наружных стен</t>
  </si>
  <si>
    <t>100 м2 поверхности</t>
  </si>
  <si>
    <t>7,4778
7,26*1,03</t>
  </si>
  <si>
    <t>ФЕР26-01-053-01</t>
  </si>
  <si>
    <t>10359,57
1265,72</t>
  </si>
  <si>
    <t>26.69 Покрытие изоляции плоских (криволинейных) поверхностей листовым металлом с заготовкой покрытия: ОЗП=16,45; ЭМ=8; ЗПМ=16,45; МАТ=3,7</t>
  </si>
  <si>
    <t>Покрытие изоляции плоских (криволинейных) поверхностей листовым металлом с заготовкой покрытия</t>
  </si>
  <si>
    <t>100 м2 поверхности покрытия изоляции</t>
  </si>
  <si>
    <t>ФССЦ-101-1876</t>
  </si>
  <si>
    <t>Сталь листовая оцинкованная толщиной листа:0,8 мм; МАТ=3,713</t>
  </si>
  <si>
    <t>Сталь листовая оцинкованная толщиной листа: 0,8 мм</t>
  </si>
  <si>
    <t>ФЕР20-02-010-08</t>
  </si>
  <si>
    <t>48,56
32,34</t>
  </si>
  <si>
    <t>7,73
0,14</t>
  </si>
  <si>
    <t>20.25 Установка зонтов над шахтами из листовой и оцинкованной стали: ОЗП=16,45; ЭМ=7,42; ЗПМ=16,45; МАТ=5,89</t>
  </si>
  <si>
    <t>861
49</t>
  </si>
  <si>
    <t>3,65
0,01</t>
  </si>
  <si>
    <t>43,8
0,12</t>
  </si>
  <si>
    <t>НР 98%=128%*(0,85*0,9) от ФОТ</t>
  </si>
  <si>
    <t>СП 56%=83%*(0,8*0,85) от ФОТ</t>
  </si>
  <si>
    <t>Установка зонтов над шахтами из листовой стали прямоугольного сечения периметром : 4000 мм</t>
  </si>
  <si>
    <t>1 зонт</t>
  </si>
  <si>
    <t>ФССЦ-301-0295</t>
  </si>
  <si>
    <t>Зонты вентиляционных систем из листовой оцинкованной стали, прямоугольные, периметром шахты 4000 мм; МАТ=5,245</t>
  </si>
  <si>
    <t>Зонты вентиляционных систем из листовой оцинкованной стали: прямоугольные, периметром шахты 4000 мм</t>
  </si>
  <si>
    <t>1108
3</t>
  </si>
  <si>
    <t>321,93
0,16</t>
  </si>
  <si>
    <t>1386
4</t>
  </si>
  <si>
    <t>370,23
0,2</t>
  </si>
  <si>
    <t xml:space="preserve">   При ремонте и реконструкции зданий и сооружений работы, аналогичные технологическим процессам в новом строительстве ОЗП=1,15; ЭМ-ЗПМ=1,25; ЗПМ=1,25; ТЗ=1,15; ТЗМ=1,25  (Поз. 83-84, 86, 89)</t>
  </si>
  <si>
    <t>277
1</t>
  </si>
  <si>
    <t>48,2895
0,04</t>
  </si>
  <si>
    <t>11166
65</t>
  </si>
  <si>
    <t>Итого по разделу 4 Вентиляционные шахты</t>
  </si>
  <si>
    <t xml:space="preserve">                           Раздел 5. Утепление фановых труб - 12 шт</t>
  </si>
  <si>
    <t>ФЕР16-04-001-02</t>
  </si>
  <si>
    <t>0,51
0,0425*12</t>
  </si>
  <si>
    <t>7784,49
611,07</t>
  </si>
  <si>
    <t>6,58
0,68</t>
  </si>
  <si>
    <t>16.103 Прокладка трубопроводов канализации из полиэтиленовых труб высокой плотности диаметром: 100 мм: ОЗП=16,45; ЭМ=11,41; ЗПМ=16,45; МАТ=3,14</t>
  </si>
  <si>
    <t>61,6
0,05</t>
  </si>
  <si>
    <t>31,42
0,03</t>
  </si>
  <si>
    <t>Прокладка трубопроводов канализации из полиэтиленовых труб высокой плотности диаметром: 110 мм</t>
  </si>
  <si>
    <t>100 м трубопровода</t>
  </si>
  <si>
    <t>ФЕР26-01-055-02</t>
  </si>
  <si>
    <t>0,1656
0,0138*12</t>
  </si>
  <si>
    <t>1532,98
125,51</t>
  </si>
  <si>
    <t>26.74 Установка пароизоляционного слоя из пленки полиэтиленовой: ОЗП=16,45; ЭМ=11,42; ЗПМ=16,45; МАТ=1,92</t>
  </si>
  <si>
    <t>Установка пароизоляционного слоя из: пленки полиэтиленовой (без стекловолокнистых материалов)</t>
  </si>
  <si>
    <t>ФССЦ-113-1952</t>
  </si>
  <si>
    <t>-19,404
-1,617*12</t>
  </si>
  <si>
    <t>Пленка полиэтиленовая толщиной 0,2-0,5 мм, изоловая; МАТ=1,221</t>
  </si>
  <si>
    <t>Пленка полиэтиленовая толщиной: 0,2-0,5 мм, изоловая</t>
  </si>
  <si>
    <t>19,404
1,617*12</t>
  </si>
  <si>
    <t>Изоспан: Двухслойная паропроницаемая мембрана марки В 13,90/5,58=2,49</t>
  </si>
  <si>
    <t>ФЕР26-01-054-01
МАТ=0</t>
  </si>
  <si>
    <t>326,9
276,31</t>
  </si>
  <si>
    <t>26.71 Обертывание поверхности изоляции рулонными материалами насухо с проклейкой швов: ОЗП=16,45; ЭМ=10,4; ЗПМ=16,45; МАТ=9,73</t>
  </si>
  <si>
    <t>Обертывание поверхности изоляции рулонными материалами насухо с проклейкой швов</t>
  </si>
  <si>
    <t>ФССЦ-104-9242-90005</t>
  </si>
  <si>
    <t>68,186
33,1*2*1,03</t>
  </si>
  <si>
    <t>Утеплитель URSA: М 15, толщиной 50 мм 64,28/5,58=11,52</t>
  </si>
  <si>
    <t>ФЕР26-01-054-01
ПЗ=2
ОЗП=2
ЭМ=2
ЗПМ=2
МАТ=0*2
ТЗ=2
ТЗМ=2</t>
  </si>
  <si>
    <t>653,8
552,62</t>
  </si>
  <si>
    <t>КОЭФ. К ПОЗИЦИИ:
материалы МАТ=0 к расх.;
За 2 раза ПЗ=2 (ОЗП=2; ЭМ=2 к расх.; ЗПМ=2; МАТ=2 к расх.; ТЗ=2; ТЗМ=2)</t>
  </si>
  <si>
    <t>ФССЦ-104-0090</t>
  </si>
  <si>
    <t>Ткань стеклянная конструкционная марки:Т-13; МАТ=2,215</t>
  </si>
  <si>
    <t>Ткань стеклянная конструкционная марки: Т-13</t>
  </si>
  <si>
    <t>1000 м2</t>
  </si>
  <si>
    <t>134,87
0,03</t>
  </si>
  <si>
    <t>155,1
0,04</t>
  </si>
  <si>
    <t xml:space="preserve">   При ремонте и реконструкции зданий и сооружений работы, аналогичные технологическим процессам в новом строительстве ОЗП=1,15; ЭМ-ЗПМ=1,25; ЗПМ=1,25; ТЗ=1,15; ТЗМ=1,25  (Поз. 91-92, 95, 97, 99)</t>
  </si>
  <si>
    <t>20,2305
0,0075</t>
  </si>
  <si>
    <t>Итого по разделу 5 Утепление фановых труб - 12 шт</t>
  </si>
  <si>
    <t xml:space="preserve">                           Раздел 6. Вывоз мусора</t>
  </si>
  <si>
    <t>ФССЦпг01-01-01-041</t>
  </si>
  <si>
    <t>42,98
42,98</t>
  </si>
  <si>
    <t>Мусор строительный, вручную: погрузка: ОЗП=10,64</t>
  </si>
  <si>
    <t xml:space="preserve">НР 0% от </t>
  </si>
  <si>
    <t xml:space="preserve">СП 0% от </t>
  </si>
  <si>
    <t>Погрузочные работы при автомобильных перевозках: мусора строительного с погрузкой вручную</t>
  </si>
  <si>
    <t>1 т груза</t>
  </si>
  <si>
    <t>ФССЦпг01-01-01-043</t>
  </si>
  <si>
    <t>Мусор строительный, экскаваторами емк,ковша 0,5 м3: погрузка; ЭМ=11,56</t>
  </si>
  <si>
    <t>Погрузочные работы при автомобильных перевозках: мусора строительного с погрузкой экскаваторами емкостью ковша до 0,5 м3</t>
  </si>
  <si>
    <t>ФССЦпг03-21-01-005</t>
  </si>
  <si>
    <t>Перевозка грузов автомобилями-самосвалами грузоподъемностью 10 т, работающих вне карьера, на расстояние: до  5 км.: I класс груза; ЭМ=9,57</t>
  </si>
  <si>
    <t>Перевозка грузов автомобилями-самосвалами грузоподъемностью 10 т, работающих вне карьера, на расстояние: до 5 км I класс груза</t>
  </si>
  <si>
    <t>Итого по разделу 6 Вывоз мусора</t>
  </si>
  <si>
    <t>Итого прямые затраты по смете в ценах 2001г.</t>
  </si>
  <si>
    <t>10289
588</t>
  </si>
  <si>
    <t>4364,15
44,03</t>
  </si>
  <si>
    <t>Итого прямые затраты по смете с учетом коэффициентов к итогам</t>
  </si>
  <si>
    <t>12221
694</t>
  </si>
  <si>
    <t>4848,21
51,9</t>
  </si>
  <si>
    <t>Итого прямые затраты по смете с учетом индексов, в текущих ценах</t>
  </si>
  <si>
    <t>126998
11413</t>
  </si>
  <si>
    <t>Итоги по смете:</t>
  </si>
  <si>
    <t xml:space="preserve">  Работы по реконструкции зданий и сооружений (усиление и замена существующих конструкций, разборка и возведение отдельных конструктивных элементов)</t>
  </si>
  <si>
    <t>163,78
0,46</t>
  </si>
  <si>
    <t xml:space="preserve">  Крыши, кровли (ремонтно-строительные)</t>
  </si>
  <si>
    <t>838,39
11,56</t>
  </si>
  <si>
    <t xml:space="preserve">  Кровли</t>
  </si>
  <si>
    <t>1944,51
29,51</t>
  </si>
  <si>
    <t xml:space="preserve">  Прочие ремонтно-строительные работы</t>
  </si>
  <si>
    <t xml:space="preserve">  Внутренние санитарно-технические работы: демонтаж и разборка (ремонтно-строительные)</t>
  </si>
  <si>
    <t xml:space="preserve">  Конструкции из кирпича и блоков</t>
  </si>
  <si>
    <t>16,69
0,96</t>
  </si>
  <si>
    <t xml:space="preserve">  Материалы для строительных работ</t>
  </si>
  <si>
    <t xml:space="preserve">  Машины</t>
  </si>
  <si>
    <t xml:space="preserve">  Деревянные конструкции</t>
  </si>
  <si>
    <t>1228,95
8,83</t>
  </si>
  <si>
    <t xml:space="preserve">  Строительные металлические конструкции</t>
  </si>
  <si>
    <t>25,85
0,1</t>
  </si>
  <si>
    <t xml:space="preserve">  Теплоизоляционные работы</t>
  </si>
  <si>
    <t>415,02
0,05</t>
  </si>
  <si>
    <t xml:space="preserve">  Сантехнические работы - внутренние (трубопроводы, водопровод, канализация, отопление, газоснабжение, вентиляция и кондиционирование воздуха)</t>
  </si>
  <si>
    <t>86,5
0,19</t>
  </si>
  <si>
    <t xml:space="preserve">  Погрузо-разгрузочные работы при автоперевозках</t>
  </si>
  <si>
    <t xml:space="preserve">  Перевозка грузов автотранспортом</t>
  </si>
  <si>
    <t xml:space="preserve">  Итого</t>
  </si>
  <si>
    <t xml:space="preserve">    В том числе:</t>
  </si>
  <si>
    <t xml:space="preserve">      Материалы</t>
  </si>
  <si>
    <t xml:space="preserve">      Машины и механизмы</t>
  </si>
  <si>
    <t xml:space="preserve">      ФОТ</t>
  </si>
  <si>
    <t xml:space="preserve">      Накладные расходы</t>
  </si>
  <si>
    <t xml:space="preserve">      Сметная прибыль</t>
  </si>
  <si>
    <t xml:space="preserve">  ВСЕГО по смете</t>
  </si>
  <si>
    <t>Составлен(а) в текущих ценах по состоянию на 2 кв. 2015 года</t>
  </si>
  <si>
    <t>Капитальный ремонт общего имущества многоквартирного дома, расположенного по адресу: Томская область, Томский  район, п. Аэропорт,  дом №4</t>
  </si>
  <si>
    <t>Составила:____________________________</t>
  </si>
  <si>
    <t>Проведена проверка достоверности определения сметной стоимости</t>
  </si>
  <si>
    <t xml:space="preserve">на Капитальный  ремонт крыши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</si>
</sst>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4"/>
      <color indexed="81"/>
      <name val="Tahoma"/>
      <family val="2"/>
      <charset val="204"/>
    </font>
    <font>
      <b/>
      <sz val="14"/>
      <color indexed="81"/>
      <name val="Tahoma"/>
      <family val="2"/>
      <charset val="204"/>
    </font>
    <font>
      <i/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1"/>
      <name val="Arial Cyr"/>
      <charset val="204"/>
    </font>
    <font>
      <sz val="10.5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2">
    <xf numFmtId="0" fontId="0" fillId="0" borderId="0"/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right" vertical="top" wrapText="1"/>
    </xf>
    <xf numFmtId="0" fontId="1" fillId="0" borderId="1">
      <alignment horizontal="center" wrapText="1"/>
    </xf>
    <xf numFmtId="0" fontId="1" fillId="0" borderId="1">
      <alignment horizontal="center"/>
    </xf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center" vertical="top" wrapText="1"/>
    </xf>
    <xf numFmtId="0" fontId="1" fillId="0" borderId="0" applyProtection="0">
      <alignment horizontal="right" indent="1"/>
    </xf>
    <xf numFmtId="0" fontId="1" fillId="0" borderId="0">
      <alignment horizontal="center"/>
    </xf>
    <xf numFmtId="0" fontId="1" fillId="0" borderId="0">
      <alignment horizontal="left" vertical="top"/>
    </xf>
  </cellStyleXfs>
  <cellXfs count="94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/>
    <xf numFmtId="0" fontId="1" fillId="0" borderId="0" xfId="0" applyFont="1" applyBorder="1" applyAlignment="1"/>
    <xf numFmtId="0" fontId="1" fillId="0" borderId="0" xfId="9" quotePrefix="1" applyFont="1" applyAlignment="1">
      <alignment horizontal="left"/>
    </xf>
    <xf numFmtId="0" fontId="1" fillId="0" borderId="0" xfId="10" applyFont="1" applyAlignment="1">
      <alignment horizontal="left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1" fillId="0" borderId="2" xfId="0" applyFont="1" applyBorder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1" fillId="0" borderId="0" xfId="0" quotePrefix="1" applyFont="1" applyBorder="1" applyAlignment="1">
      <alignment horizontal="right" vertical="top"/>
    </xf>
    <xf numFmtId="0" fontId="1" fillId="0" borderId="0" xfId="0" quotePrefix="1" applyFont="1" applyFill="1" applyBorder="1" applyAlignment="1">
      <alignment horizontal="left" vertical="top"/>
    </xf>
    <xf numFmtId="0" fontId="1" fillId="0" borderId="0" xfId="0" quotePrefix="1" applyFont="1" applyBorder="1" applyAlignment="1">
      <alignment horizontal="left" vertical="top"/>
    </xf>
    <xf numFmtId="0" fontId="1" fillId="0" borderId="0" xfId="0" applyFont="1" applyAlignment="1">
      <alignment horizontal="center" vertical="top"/>
    </xf>
    <xf numFmtId="0" fontId="1" fillId="0" borderId="0" xfId="0" applyFont="1" applyBorder="1"/>
    <xf numFmtId="0" fontId="1" fillId="0" borderId="0" xfId="0" applyFont="1" applyBorder="1" applyAlignment="1">
      <alignment horizontal="center" vertical="top" wrapText="1"/>
    </xf>
    <xf numFmtId="0" fontId="1" fillId="0" borderId="0" xfId="9" applyFont="1">
      <alignment horizontal="right" indent="1"/>
    </xf>
    <xf numFmtId="0" fontId="1" fillId="0" borderId="0" xfId="9" applyFont="1" applyBorder="1">
      <alignment horizontal="right" indent="1"/>
    </xf>
    <xf numFmtId="0" fontId="1" fillId="0" borderId="0" xfId="9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9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top"/>
    </xf>
    <xf numFmtId="0" fontId="1" fillId="0" borderId="0" xfId="0" applyFont="1" applyAlignment="1">
      <alignment horizontal="right" vertical="center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right" vertical="center"/>
    </xf>
    <xf numFmtId="0" fontId="2" fillId="0" borderId="0" xfId="9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2" xfId="9" applyFont="1" applyBorder="1" applyAlignment="1">
      <alignment horizontal="left"/>
    </xf>
    <xf numFmtId="0" fontId="1" fillId="0" borderId="2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/>
    </xf>
    <xf numFmtId="0" fontId="7" fillId="0" borderId="0" xfId="0" applyFont="1" applyAlignment="1">
      <alignment horizontal="center" vertical="top"/>
    </xf>
    <xf numFmtId="0" fontId="1" fillId="0" borderId="0" xfId="0" applyFont="1" applyAlignment="1">
      <alignment horizontal="right" vertical="top" wrapText="1"/>
    </xf>
    <xf numFmtId="0" fontId="1" fillId="0" borderId="0" xfId="0" applyFont="1" applyBorder="1" applyAlignment="1">
      <alignment horizontal="right" vertical="top" wrapText="1"/>
    </xf>
    <xf numFmtId="0" fontId="1" fillId="0" borderId="1" xfId="0" quotePrefix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NumberFormat="1" applyFont="1" applyBorder="1" applyAlignment="1">
      <alignment horizontal="right" vertical="top" wrapText="1"/>
    </xf>
    <xf numFmtId="0" fontId="1" fillId="0" borderId="0" xfId="11" applyFont="1" applyAlignment="1">
      <alignment horizontal="left" vertical="top"/>
    </xf>
    <xf numFmtId="0" fontId="1" fillId="0" borderId="3" xfId="4" applyFont="1" applyBorder="1" applyAlignment="1">
      <alignment horizontal="center" wrapText="1"/>
    </xf>
    <xf numFmtId="0" fontId="1" fillId="0" borderId="8" xfId="4" applyFont="1" applyBorder="1">
      <alignment horizontal="center" wrapText="1"/>
    </xf>
    <xf numFmtId="0" fontId="1" fillId="0" borderId="3" xfId="4" applyFont="1" applyBorder="1">
      <alignment horizontal="center" wrapText="1"/>
    </xf>
    <xf numFmtId="0" fontId="2" fillId="0" borderId="3" xfId="4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righ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right" vertical="top" wrapText="1"/>
    </xf>
    <xf numFmtId="0" fontId="1" fillId="0" borderId="1" xfId="9" applyFont="1" applyBorder="1">
      <alignment horizontal="right" indent="1"/>
    </xf>
    <xf numFmtId="0" fontId="1" fillId="0" borderId="1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3" xfId="0" applyFont="1" applyBorder="1" applyAlignment="1">
      <alignment horizontal="righ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3" xfId="0" applyNumberFormat="1" applyFont="1" applyBorder="1" applyAlignment="1">
      <alignment horizontal="right" vertical="top" wrapText="1"/>
    </xf>
    <xf numFmtId="0" fontId="1" fillId="0" borderId="1" xfId="3" applyFont="1" applyBorder="1" applyAlignment="1">
      <alignment horizontal="right" vertical="top" wrapText="1"/>
    </xf>
    <xf numFmtId="0" fontId="12" fillId="0" borderId="0" xfId="0" quotePrefix="1" applyFont="1" applyBorder="1" applyAlignment="1">
      <alignment horizontal="left" vertical="top"/>
    </xf>
    <xf numFmtId="0" fontId="1" fillId="0" borderId="1" xfId="3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2" fillId="0" borderId="1" xfId="3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1" fillId="0" borderId="7" xfId="0" quotePrefix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1" xfId="0" applyFont="1" applyBorder="1" applyAlignment="1"/>
    <xf numFmtId="0" fontId="1" fillId="0" borderId="8" xfId="0" applyFont="1" applyBorder="1" applyAlignment="1"/>
    <xf numFmtId="0" fontId="1" fillId="0" borderId="12" xfId="0" applyFont="1" applyBorder="1" applyAlignment="1"/>
    <xf numFmtId="0" fontId="1" fillId="0" borderId="0" xfId="0" applyFont="1" applyBorder="1" applyAlignment="1"/>
    <xf numFmtId="0" fontId="1" fillId="0" borderId="13" xfId="0" applyFont="1" applyBorder="1" applyAlignment="1"/>
    <xf numFmtId="0" fontId="1" fillId="0" borderId="1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quotePrefix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9" applyFont="1" applyAlignment="1">
      <alignment horizontal="left" vertical="top" wrapText="1"/>
    </xf>
    <xf numFmtId="0" fontId="1" fillId="0" borderId="0" xfId="9" applyFont="1" applyAlignment="1">
      <alignment horizontal="right" vertical="top" wrapText="1"/>
    </xf>
    <xf numFmtId="0" fontId="1" fillId="0" borderId="0" xfId="9" applyFont="1" applyAlignment="1">
      <alignment horizontal="left"/>
    </xf>
    <xf numFmtId="0" fontId="1" fillId="0" borderId="2" xfId="9" applyFont="1" applyBorder="1">
      <alignment horizontal="right" indent="1"/>
    </xf>
    <xf numFmtId="0" fontId="1" fillId="0" borderId="6" xfId="9" applyFont="1" applyBorder="1">
      <alignment horizontal="right" indent="1"/>
    </xf>
  </cellXfs>
  <cellStyles count="12">
    <cellStyle name="Акт" xfId="1"/>
    <cellStyle name="ВедРесурсов" xfId="2"/>
    <cellStyle name="Итоги" xfId="3"/>
    <cellStyle name="ЛокСмета" xfId="4"/>
    <cellStyle name="ОбСмета" xfId="5"/>
    <cellStyle name="Обычный" xfId="0" builtinId="0"/>
    <cellStyle name="РесСмета" xfId="6"/>
    <cellStyle name="СводРасч" xfId="7"/>
    <cellStyle name="Список ресурсов" xfId="8"/>
    <cellStyle name="Титул" xfId="9"/>
    <cellStyle name="Титул_Лок.См.Расч.Баз.-Инд.Методом" xfId="10"/>
    <cellStyle name="Хвост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/>
  </sheetPr>
  <dimension ref="A1:AI200"/>
  <sheetViews>
    <sheetView showGridLines="0" tabSelected="1" topLeftCell="A157" zoomScale="101" zoomScaleNormal="101" workbookViewId="0">
      <selection activeCell="D8" sqref="D8"/>
    </sheetView>
  </sheetViews>
  <sheetFormatPr defaultColWidth="9.140625" defaultRowHeight="12.75" x14ac:dyDescent="0.2"/>
  <cols>
    <col min="1" max="1" width="3.42578125" style="3" customWidth="1"/>
    <col min="2" max="2" width="14.42578125" style="3" customWidth="1"/>
    <col min="3" max="3" width="41.7109375" style="3" customWidth="1"/>
    <col min="4" max="4" width="6.85546875" style="3" customWidth="1"/>
    <col min="5" max="5" width="9.7109375" style="35" customWidth="1"/>
    <col min="6" max="6" width="8.85546875" style="35" customWidth="1"/>
    <col min="7" max="7" width="0.140625" style="35" hidden="1" customWidth="1"/>
    <col min="8" max="8" width="25.28515625" style="35" customWidth="1"/>
    <col min="9" max="9" width="9.7109375" style="35" customWidth="1"/>
    <col min="10" max="10" width="8.140625" style="35" customWidth="1"/>
    <col min="11" max="11" width="8.7109375" style="35" customWidth="1"/>
    <col min="12" max="12" width="8.85546875" style="35" hidden="1" customWidth="1"/>
    <col min="13" max="13" width="7.7109375" style="35" customWidth="1"/>
    <col min="14" max="14" width="8" style="2" customWidth="1"/>
    <col min="15" max="15" width="0" style="2" hidden="1" customWidth="1"/>
    <col min="16" max="16" width="19.7109375" style="2" hidden="1" customWidth="1"/>
    <col min="17" max="26" width="0" style="2" hidden="1" customWidth="1"/>
    <col min="27" max="34" width="30.7109375" style="2" hidden="1" customWidth="1"/>
    <col min="35" max="35" width="31.5703125" style="2" hidden="1" customWidth="1"/>
    <col min="36" max="36" width="0" style="2" hidden="1" customWidth="1"/>
    <col min="37" max="16384" width="9.140625" style="2"/>
  </cols>
  <sheetData>
    <row r="1" spans="1:14" s="1" customFormat="1" x14ac:dyDescent="0.2">
      <c r="A1" s="15"/>
      <c r="B1" s="20"/>
      <c r="C1" s="15"/>
      <c r="E1" s="21"/>
      <c r="F1" s="22" t="s">
        <v>548</v>
      </c>
      <c r="G1" s="21"/>
      <c r="H1" s="23"/>
      <c r="I1" s="15"/>
      <c r="J1" s="15"/>
      <c r="K1" s="15"/>
      <c r="L1" s="15"/>
      <c r="M1" s="15"/>
    </row>
    <row r="2" spans="1:14" s="1" customFormat="1" x14ac:dyDescent="0.2">
      <c r="A2" s="8" t="s">
        <v>5</v>
      </c>
      <c r="B2" s="20"/>
      <c r="D2" s="23"/>
      <c r="F2" s="24" t="s">
        <v>1</v>
      </c>
      <c r="G2" s="24"/>
      <c r="J2" s="8"/>
      <c r="L2" s="8"/>
      <c r="M2" s="15"/>
      <c r="N2" s="25" t="s">
        <v>6</v>
      </c>
    </row>
    <row r="3" spans="1:14" s="1" customFormat="1" x14ac:dyDescent="0.2">
      <c r="A3" s="26" t="s">
        <v>7</v>
      </c>
      <c r="E3" s="15"/>
      <c r="F3" s="15"/>
      <c r="G3" s="15"/>
      <c r="H3" s="15"/>
      <c r="J3" s="8"/>
      <c r="L3" s="8"/>
      <c r="M3" s="15"/>
      <c r="N3" s="27" t="s">
        <v>0</v>
      </c>
    </row>
    <row r="4" spans="1:14" s="1" customFormat="1" ht="51" customHeight="1" x14ac:dyDescent="0.2">
      <c r="A4" s="89" t="s">
        <v>25</v>
      </c>
      <c r="B4" s="89"/>
      <c r="C4" s="89"/>
      <c r="F4" s="28" t="s">
        <v>26</v>
      </c>
      <c r="G4" s="15"/>
      <c r="I4" s="90" t="s">
        <v>25</v>
      </c>
      <c r="J4" s="90"/>
      <c r="K4" s="90"/>
      <c r="L4" s="90"/>
      <c r="M4" s="90"/>
      <c r="N4" s="90"/>
    </row>
    <row r="5" spans="1:14" s="1" customFormat="1" x14ac:dyDescent="0.2">
      <c r="A5" s="15"/>
      <c r="B5" s="15"/>
      <c r="C5" s="15"/>
      <c r="F5" s="15" t="s">
        <v>2</v>
      </c>
      <c r="G5" s="15"/>
      <c r="I5" s="15"/>
      <c r="J5" s="15"/>
      <c r="K5" s="15"/>
      <c r="L5" s="15"/>
      <c r="M5" s="15"/>
    </row>
    <row r="6" spans="1:14" s="1" customFormat="1" x14ac:dyDescent="0.2">
      <c r="A6" s="15"/>
      <c r="B6" s="15"/>
      <c r="C6" s="15"/>
      <c r="E6" s="15"/>
      <c r="F6" s="15"/>
      <c r="G6" s="15"/>
      <c r="H6" s="15"/>
      <c r="I6" s="15"/>
      <c r="J6" s="15"/>
      <c r="K6" s="15"/>
      <c r="L6" s="15"/>
      <c r="M6" s="15"/>
    </row>
    <row r="7" spans="1:14" s="1" customFormat="1" x14ac:dyDescent="0.2">
      <c r="A7" s="15"/>
      <c r="B7" s="15"/>
      <c r="C7" s="29"/>
      <c r="D7" s="30" t="s">
        <v>551</v>
      </c>
      <c r="E7" s="31"/>
      <c r="F7" s="31"/>
      <c r="G7" s="31"/>
      <c r="H7" s="31"/>
      <c r="I7" s="32"/>
      <c r="J7" s="32"/>
      <c r="K7" s="32"/>
      <c r="L7" s="32"/>
      <c r="M7" s="15"/>
    </row>
    <row r="8" spans="1:14" s="1" customFormat="1" x14ac:dyDescent="0.2">
      <c r="A8" s="15"/>
      <c r="B8" s="15"/>
      <c r="C8" s="15"/>
      <c r="D8" s="33" t="s">
        <v>21</v>
      </c>
      <c r="E8" s="24"/>
      <c r="F8" s="24"/>
      <c r="G8" s="24"/>
      <c r="I8" s="32"/>
      <c r="J8" s="32"/>
      <c r="K8" s="32"/>
      <c r="L8" s="32"/>
      <c r="M8" s="15"/>
    </row>
    <row r="9" spans="1:14" s="1" customFormat="1" ht="7.5" customHeight="1" x14ac:dyDescent="0.2">
      <c r="A9" s="34"/>
      <c r="B9" s="34"/>
      <c r="C9" s="15"/>
      <c r="E9" s="15"/>
      <c r="F9" s="15"/>
      <c r="G9" s="15"/>
      <c r="H9" s="15"/>
      <c r="I9" s="15"/>
      <c r="J9" s="15"/>
      <c r="M9" s="15"/>
    </row>
    <row r="10" spans="1:14" x14ac:dyDescent="0.2">
      <c r="A10" s="91" t="s">
        <v>27</v>
      </c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</row>
    <row r="11" spans="1:14" x14ac:dyDescent="0.2">
      <c r="A11" s="6" t="s">
        <v>10</v>
      </c>
      <c r="B11" s="7"/>
      <c r="C11" s="92">
        <v>3640616</v>
      </c>
      <c r="D11" s="92"/>
      <c r="E11" s="92"/>
      <c r="F11" s="8" t="s">
        <v>9</v>
      </c>
      <c r="G11" s="9"/>
      <c r="H11" s="9"/>
      <c r="I11" s="9"/>
      <c r="J11" s="9"/>
    </row>
    <row r="12" spans="1:14" ht="13.5" x14ac:dyDescent="0.2">
      <c r="A12" s="6" t="s">
        <v>20</v>
      </c>
      <c r="B12" s="7"/>
      <c r="C12" s="10"/>
      <c r="D12" s="93">
        <v>707313</v>
      </c>
      <c r="E12" s="93"/>
      <c r="F12" s="8" t="s">
        <v>9</v>
      </c>
      <c r="G12" s="9"/>
      <c r="H12" s="63" t="s">
        <v>550</v>
      </c>
      <c r="I12" s="9"/>
      <c r="J12" s="9"/>
    </row>
    <row r="13" spans="1:14" x14ac:dyDescent="0.2">
      <c r="A13" s="6" t="s">
        <v>547</v>
      </c>
      <c r="B13" s="2"/>
      <c r="C13" s="11"/>
      <c r="D13" s="12"/>
      <c r="E13" s="13"/>
      <c r="F13" s="36"/>
      <c r="G13" s="14"/>
      <c r="H13" s="14"/>
      <c r="I13" s="9"/>
      <c r="J13" s="9"/>
    </row>
    <row r="14" spans="1:14" ht="11.25" customHeight="1" x14ac:dyDescent="0.2">
      <c r="A14" s="15"/>
      <c r="B14" s="8"/>
      <c r="C14" s="8"/>
      <c r="D14" s="15"/>
      <c r="E14" s="9"/>
      <c r="F14" s="9"/>
      <c r="G14" s="9"/>
      <c r="H14" s="10"/>
      <c r="I14" s="9"/>
      <c r="J14" s="9"/>
      <c r="K14" s="9"/>
      <c r="L14" s="9"/>
      <c r="M14" s="9"/>
      <c r="N14" s="2" t="s">
        <v>9</v>
      </c>
    </row>
    <row r="15" spans="1:14" ht="12.75" customHeight="1" x14ac:dyDescent="0.2">
      <c r="A15" s="85" t="s">
        <v>3</v>
      </c>
      <c r="B15" s="85" t="s">
        <v>17</v>
      </c>
      <c r="C15" s="87" t="s">
        <v>22</v>
      </c>
      <c r="D15" s="87" t="s">
        <v>18</v>
      </c>
      <c r="E15" s="77" t="s">
        <v>23</v>
      </c>
      <c r="F15" s="78"/>
      <c r="G15" s="79"/>
      <c r="H15" s="87" t="s">
        <v>4</v>
      </c>
      <c r="I15" s="77" t="s">
        <v>24</v>
      </c>
      <c r="J15" s="83"/>
      <c r="K15" s="83"/>
      <c r="L15" s="74"/>
      <c r="M15" s="73" t="s">
        <v>19</v>
      </c>
      <c r="N15" s="74"/>
    </row>
    <row r="16" spans="1:14" s="4" customFormat="1" ht="38.25" customHeight="1" x14ac:dyDescent="0.2">
      <c r="A16" s="88"/>
      <c r="B16" s="88"/>
      <c r="C16" s="88"/>
      <c r="D16" s="88"/>
      <c r="E16" s="80"/>
      <c r="F16" s="81"/>
      <c r="G16" s="82"/>
      <c r="H16" s="88"/>
      <c r="I16" s="75"/>
      <c r="J16" s="84"/>
      <c r="K16" s="84"/>
      <c r="L16" s="76"/>
      <c r="M16" s="75"/>
      <c r="N16" s="76"/>
    </row>
    <row r="17" spans="1:35" s="4" customFormat="1" ht="12.75" customHeight="1" x14ac:dyDescent="0.2">
      <c r="A17" s="88"/>
      <c r="B17" s="88"/>
      <c r="C17" s="88"/>
      <c r="D17" s="88"/>
      <c r="E17" s="37" t="s">
        <v>12</v>
      </c>
      <c r="F17" s="37" t="s">
        <v>14</v>
      </c>
      <c r="G17" s="87" t="s">
        <v>16</v>
      </c>
      <c r="H17" s="88"/>
      <c r="I17" s="87" t="s">
        <v>12</v>
      </c>
      <c r="J17" s="87" t="s">
        <v>15</v>
      </c>
      <c r="K17" s="37" t="s">
        <v>14</v>
      </c>
      <c r="L17" s="87" t="s">
        <v>16</v>
      </c>
      <c r="M17" s="85" t="s">
        <v>8</v>
      </c>
      <c r="N17" s="87" t="s">
        <v>12</v>
      </c>
    </row>
    <row r="18" spans="1:35" s="4" customFormat="1" ht="11.25" customHeight="1" x14ac:dyDescent="0.2">
      <c r="A18" s="86"/>
      <c r="B18" s="86"/>
      <c r="C18" s="86"/>
      <c r="D18" s="86"/>
      <c r="E18" s="38" t="s">
        <v>11</v>
      </c>
      <c r="F18" s="37" t="s">
        <v>13</v>
      </c>
      <c r="G18" s="86"/>
      <c r="H18" s="86"/>
      <c r="I18" s="86"/>
      <c r="J18" s="86"/>
      <c r="K18" s="37" t="s">
        <v>13</v>
      </c>
      <c r="L18" s="86"/>
      <c r="M18" s="86"/>
      <c r="N18" s="86"/>
    </row>
    <row r="19" spans="1:35" x14ac:dyDescent="0.2">
      <c r="A19" s="42">
        <v>1</v>
      </c>
      <c r="B19" s="42">
        <v>2</v>
      </c>
      <c r="C19" s="42">
        <v>3</v>
      </c>
      <c r="D19" s="42">
        <v>4</v>
      </c>
      <c r="E19" s="42">
        <v>5</v>
      </c>
      <c r="F19" s="42">
        <v>6</v>
      </c>
      <c r="G19" s="42">
        <v>7</v>
      </c>
      <c r="H19" s="42">
        <v>7</v>
      </c>
      <c r="I19" s="42">
        <v>8</v>
      </c>
      <c r="J19" s="42">
        <v>9</v>
      </c>
      <c r="K19" s="42">
        <v>10</v>
      </c>
      <c r="L19" s="42">
        <v>12</v>
      </c>
      <c r="M19" s="42">
        <v>11</v>
      </c>
      <c r="N19" s="42">
        <v>12</v>
      </c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43"/>
      <c r="AB19" s="44"/>
      <c r="AC19" s="44"/>
      <c r="AD19" s="44"/>
      <c r="AE19" s="44"/>
      <c r="AF19" s="45"/>
      <c r="AG19" s="44"/>
      <c r="AH19" s="44"/>
      <c r="AI19" s="44"/>
    </row>
    <row r="20" spans="1:35" ht="21" customHeight="1" x14ac:dyDescent="0.2">
      <c r="A20" s="68" t="s">
        <v>29</v>
      </c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</row>
    <row r="21" spans="1:35" ht="114.75" x14ac:dyDescent="0.2">
      <c r="A21" s="46">
        <v>1</v>
      </c>
      <c r="B21" s="47" t="s">
        <v>30</v>
      </c>
      <c r="C21" s="48" t="str">
        <f t="shared" ref="C21:C32" ca="1" si="0">INDIRECT("AF"&amp;ROW())&amp;CHAR(10)&amp;INDIRECT("AG"&amp;ROW())&amp;IF(INDIRECT("AE"&amp;ROW())="", "", CHAR(10)&amp;INDIRECT("AE"&amp;ROW()))&amp;IF(INDIRECT("AC"&amp;ROW())="", "", CHAR(10)&amp;INDIRECT("AC"&amp;ROW())&amp;" руб. "&amp;INDIRECT("AA"&amp;ROW())&amp;" ("&amp;INDIRECT("AI"&amp;ROW())&amp;" руб.)")&amp;IF(INDIRECT("AD"&amp;ROW())="", "", CHAR(10)&amp;INDIRECT("AD"&amp;ROW())&amp;" руб."&amp;INDIRECT("AB"&amp;ROW())&amp;" ("&amp;INDIRECT("AI"&amp;ROW())&amp;" руб.)")&amp;CHAR(10)&amp;CHAR(10)</f>
        <v xml:space="preserve">Разборка покрытий кровель: из волнистых и полуволнистых асбестоцементных листов
100 м2 покрытия
14315 руб. НР 84%=110%*(0,85*0,9) от ФОТ (17042 руб.)
8180 руб.СП 48%=70%*(0,8*0,85) от ФОТ (17042 руб.)
</v>
      </c>
      <c r="D21" s="46">
        <v>8.35</v>
      </c>
      <c r="E21" s="49" t="s">
        <v>31</v>
      </c>
      <c r="F21" s="49">
        <v>30.64</v>
      </c>
      <c r="G21" s="49"/>
      <c r="H21" s="50" t="s">
        <v>32</v>
      </c>
      <c r="I21" s="51">
        <v>17807</v>
      </c>
      <c r="J21" s="49">
        <v>17042</v>
      </c>
      <c r="K21" s="49">
        <v>765</v>
      </c>
      <c r="L21" s="49" t="str">
        <f>IF(8.35*0=0," ",TEXT(,ROUND((8.35*0*1),2)))</f>
        <v xml:space="preserve"> </v>
      </c>
      <c r="M21" s="49">
        <v>15.9</v>
      </c>
      <c r="N21" s="49">
        <v>132.77000000000001</v>
      </c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3" t="s">
        <v>33</v>
      </c>
      <c r="AB21" s="53" t="s">
        <v>34</v>
      </c>
      <c r="AC21" s="53">
        <v>14315</v>
      </c>
      <c r="AD21" s="53">
        <v>8180</v>
      </c>
      <c r="AE21" s="53"/>
      <c r="AF21" s="54" t="s">
        <v>35</v>
      </c>
      <c r="AG21" s="53" t="s">
        <v>36</v>
      </c>
      <c r="AH21" s="53"/>
      <c r="AI21" s="53">
        <f>17042+0</f>
        <v>17042</v>
      </c>
    </row>
    <row r="22" spans="1:35" ht="102" x14ac:dyDescent="0.2">
      <c r="A22" s="46">
        <v>2</v>
      </c>
      <c r="B22" s="47" t="s">
        <v>37</v>
      </c>
      <c r="C22" s="48" t="str">
        <f t="shared" ca="1" si="0"/>
        <v xml:space="preserve">Разборка покрытий кровель: из листовой стали
100 м2 покрытия
1562 руб. НР 84%=110%*(0,85*0,9) от ФОТ (1859 руб.)
892 руб.СП 48%=70%*(0,8*0,85) от ФОТ (1859 руб.)
</v>
      </c>
      <c r="D22" s="46">
        <v>1.6928000000000001</v>
      </c>
      <c r="E22" s="49" t="s">
        <v>38</v>
      </c>
      <c r="F22" s="49">
        <v>12.52</v>
      </c>
      <c r="G22" s="49"/>
      <c r="H22" s="50" t="s">
        <v>32</v>
      </c>
      <c r="I22" s="51">
        <v>1922</v>
      </c>
      <c r="J22" s="49">
        <v>1859</v>
      </c>
      <c r="K22" s="49">
        <v>63</v>
      </c>
      <c r="L22" s="49" t="str">
        <f>IF(1.6928*0=0," ",TEXT(,ROUND((1.6928*0*1),2)))</f>
        <v xml:space="preserve"> </v>
      </c>
      <c r="M22" s="49">
        <v>8.58</v>
      </c>
      <c r="N22" s="49">
        <v>14.52</v>
      </c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3" t="s">
        <v>33</v>
      </c>
      <c r="AB22" s="53" t="s">
        <v>34</v>
      </c>
      <c r="AC22" s="53">
        <v>1562</v>
      </c>
      <c r="AD22" s="53">
        <v>892</v>
      </c>
      <c r="AE22" s="53"/>
      <c r="AF22" s="54" t="s">
        <v>39</v>
      </c>
      <c r="AG22" s="53" t="s">
        <v>36</v>
      </c>
      <c r="AH22" s="53"/>
      <c r="AI22" s="53">
        <f>1859+0</f>
        <v>1859</v>
      </c>
    </row>
    <row r="23" spans="1:35" ht="102" x14ac:dyDescent="0.2">
      <c r="A23" s="46">
        <v>3</v>
      </c>
      <c r="B23" s="47" t="s">
        <v>40</v>
      </c>
      <c r="C23" s="48" t="str">
        <f t="shared" ca="1" si="0"/>
        <v xml:space="preserve">Разборка мелких покрытий и обделок из листовой стали: поясков, сандриков, желобов, отливов, свесов и т.п.
100 м труб и покрытий
1179 руб. НР 71%=83%*0,85 от ФОТ (1661 руб.)
864 руб.СП 52%=65%*0,8 от ФОТ (1661 руб.)
</v>
      </c>
      <c r="D23" s="46" t="s">
        <v>41</v>
      </c>
      <c r="E23" s="49" t="s">
        <v>42</v>
      </c>
      <c r="F23" s="49">
        <v>0.2</v>
      </c>
      <c r="G23" s="49"/>
      <c r="H23" s="50" t="s">
        <v>43</v>
      </c>
      <c r="I23" s="51">
        <v>1661</v>
      </c>
      <c r="J23" s="49">
        <v>1661</v>
      </c>
      <c r="K23" s="49"/>
      <c r="L23" s="49" t="str">
        <f>IF(1.422*0=0," ",TEXT(,ROUND((1.422*0*1),2)))</f>
        <v xml:space="preserve"> </v>
      </c>
      <c r="M23" s="49">
        <v>9.1</v>
      </c>
      <c r="N23" s="49">
        <v>12.94</v>
      </c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3" t="s">
        <v>44</v>
      </c>
      <c r="AB23" s="53" t="s">
        <v>45</v>
      </c>
      <c r="AC23" s="53">
        <v>1179</v>
      </c>
      <c r="AD23" s="53">
        <v>864</v>
      </c>
      <c r="AE23" s="53"/>
      <c r="AF23" s="54" t="s">
        <v>46</v>
      </c>
      <c r="AG23" s="53" t="s">
        <v>47</v>
      </c>
      <c r="AH23" s="53"/>
      <c r="AI23" s="53">
        <f>1661+0</f>
        <v>1661</v>
      </c>
    </row>
    <row r="24" spans="1:35" ht="89.25" x14ac:dyDescent="0.2">
      <c r="A24" s="46">
        <v>4</v>
      </c>
      <c r="B24" s="47" t="s">
        <v>48</v>
      </c>
      <c r="C24" s="48" t="str">
        <f t="shared" ca="1" si="0"/>
        <v xml:space="preserve">Разборка слуховых окон: прямоугольных односкатных
100 окон
1436 руб. НР 71%=83%*0,85 от ФОТ (2023 руб.)
1052 руб.СП 52%=65%*0,8 от ФОТ (2023 руб.)
</v>
      </c>
      <c r="D24" s="46">
        <v>0.05</v>
      </c>
      <c r="E24" s="49" t="s">
        <v>49</v>
      </c>
      <c r="F24" s="49">
        <v>10.37</v>
      </c>
      <c r="G24" s="49"/>
      <c r="H24" s="50" t="s">
        <v>50</v>
      </c>
      <c r="I24" s="51">
        <v>2027</v>
      </c>
      <c r="J24" s="49">
        <v>2023</v>
      </c>
      <c r="K24" s="49">
        <v>5</v>
      </c>
      <c r="L24" s="49" t="str">
        <f>IF(0.05*0=0," ",TEXT(,ROUND((0.05*0*1),2)))</f>
        <v xml:space="preserve"> </v>
      </c>
      <c r="M24" s="49">
        <v>309.3</v>
      </c>
      <c r="N24" s="49">
        <v>15.47</v>
      </c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3" t="s">
        <v>44</v>
      </c>
      <c r="AB24" s="53" t="s">
        <v>45</v>
      </c>
      <c r="AC24" s="53">
        <v>1436</v>
      </c>
      <c r="AD24" s="53">
        <v>1052</v>
      </c>
      <c r="AE24" s="53"/>
      <c r="AF24" s="54" t="s">
        <v>51</v>
      </c>
      <c r="AG24" s="53" t="s">
        <v>52</v>
      </c>
      <c r="AH24" s="53"/>
      <c r="AI24" s="53">
        <f>2023+0</f>
        <v>2023</v>
      </c>
    </row>
    <row r="25" spans="1:35" ht="89.25" x14ac:dyDescent="0.2">
      <c r="A25" s="46">
        <v>5</v>
      </c>
      <c r="B25" s="47" t="s">
        <v>53</v>
      </c>
      <c r="C25" s="48" t="str">
        <f t="shared" ca="1" si="0"/>
        <v xml:space="preserve">Разборка деревянных элементов конструкций крыш: обрешетки из брусков с прозорами
100 м2 кровли
12871 руб. НР 71%=83%*0,85 от ФОТ (18128 руб.)
9427 руб.СП 52%=65%*0,8 от ФОТ (18128 руб.)
</v>
      </c>
      <c r="D25" s="46">
        <v>8.7100000000000009</v>
      </c>
      <c r="E25" s="49" t="s">
        <v>54</v>
      </c>
      <c r="F25" s="49" t="s">
        <v>55</v>
      </c>
      <c r="G25" s="49"/>
      <c r="H25" s="50" t="s">
        <v>56</v>
      </c>
      <c r="I25" s="51">
        <v>21400</v>
      </c>
      <c r="J25" s="49">
        <v>17240</v>
      </c>
      <c r="K25" s="49" t="s">
        <v>57</v>
      </c>
      <c r="L25" s="49" t="str">
        <f>IF(8.71*0=0," ",TEXT(,ROUND((8.71*0*1),2)))</f>
        <v xml:space="preserve"> </v>
      </c>
      <c r="M25" s="49" t="s">
        <v>58</v>
      </c>
      <c r="N25" s="49" t="s">
        <v>59</v>
      </c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3" t="s">
        <v>44</v>
      </c>
      <c r="AB25" s="53" t="s">
        <v>45</v>
      </c>
      <c r="AC25" s="53">
        <v>12871</v>
      </c>
      <c r="AD25" s="53">
        <v>9427</v>
      </c>
      <c r="AE25" s="53"/>
      <c r="AF25" s="54" t="s">
        <v>60</v>
      </c>
      <c r="AG25" s="53" t="s">
        <v>61</v>
      </c>
      <c r="AH25" s="53"/>
      <c r="AI25" s="53">
        <f>17240+888</f>
        <v>18128</v>
      </c>
    </row>
    <row r="26" spans="1:35" ht="102" x14ac:dyDescent="0.2">
      <c r="A26" s="46">
        <v>6</v>
      </c>
      <c r="B26" s="47" t="s">
        <v>62</v>
      </c>
      <c r="C26" s="48" t="str">
        <f t="shared" ca="1" si="0"/>
        <v xml:space="preserve">Разборка деревянных элементов конструкций крыш: стропил со стойками и подкосами из досок
100 м2 кровли
19061 руб. НР 71%=83%*0,85 от ФОТ (26846 руб.)
13960 руб.СП 52%=65%*0,8 от ФОТ (26846 руб.)
</v>
      </c>
      <c r="D26" s="46">
        <v>8.7100000000000009</v>
      </c>
      <c r="E26" s="49" t="s">
        <v>63</v>
      </c>
      <c r="F26" s="49" t="s">
        <v>64</v>
      </c>
      <c r="G26" s="49"/>
      <c r="H26" s="50" t="s">
        <v>56</v>
      </c>
      <c r="I26" s="51">
        <v>28907</v>
      </c>
      <c r="J26" s="49">
        <v>26287</v>
      </c>
      <c r="K26" s="49" t="s">
        <v>65</v>
      </c>
      <c r="L26" s="49" t="str">
        <f>IF(8.71*0=0," ",TEXT(,ROUND((8.71*0*1),2)))</f>
        <v xml:space="preserve"> </v>
      </c>
      <c r="M26" s="49" t="s">
        <v>66</v>
      </c>
      <c r="N26" s="49" t="s">
        <v>67</v>
      </c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3" t="s">
        <v>44</v>
      </c>
      <c r="AB26" s="53" t="s">
        <v>45</v>
      </c>
      <c r="AC26" s="53">
        <v>19061</v>
      </c>
      <c r="AD26" s="53">
        <v>13960</v>
      </c>
      <c r="AE26" s="53"/>
      <c r="AF26" s="54" t="s">
        <v>68</v>
      </c>
      <c r="AG26" s="53" t="s">
        <v>61</v>
      </c>
      <c r="AH26" s="53"/>
      <c r="AI26" s="53">
        <f>26287+559</f>
        <v>26846</v>
      </c>
    </row>
    <row r="27" spans="1:35" ht="89.25" x14ac:dyDescent="0.2">
      <c r="A27" s="46">
        <v>7</v>
      </c>
      <c r="B27" s="47" t="s">
        <v>69</v>
      </c>
      <c r="C27" s="48" t="str">
        <f t="shared" ca="1" si="0"/>
        <v xml:space="preserve">Разборка деревянных элементов конструкций крыш: мауэрлатов
100 м2 кровли
5804 руб. НР 71%=83%*0,85 от ФОТ (8175 руб.)
4251 руб.СП 52%=65%*0,8 от ФОТ (8175 руб.)
</v>
      </c>
      <c r="D27" s="46">
        <v>8.7100000000000009</v>
      </c>
      <c r="E27" s="49" t="s">
        <v>70</v>
      </c>
      <c r="F27" s="49" t="s">
        <v>71</v>
      </c>
      <c r="G27" s="49"/>
      <c r="H27" s="50" t="s">
        <v>56</v>
      </c>
      <c r="I27" s="51">
        <v>10090</v>
      </c>
      <c r="J27" s="49">
        <v>7649</v>
      </c>
      <c r="K27" s="49" t="s">
        <v>72</v>
      </c>
      <c r="L27" s="49" t="str">
        <f>IF(8.71*0=0," ",TEXT(,ROUND((8.71*0*1),2)))</f>
        <v xml:space="preserve"> </v>
      </c>
      <c r="M27" s="49" t="s">
        <v>73</v>
      </c>
      <c r="N27" s="49" t="s">
        <v>74</v>
      </c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3" t="s">
        <v>44</v>
      </c>
      <c r="AB27" s="53" t="s">
        <v>45</v>
      </c>
      <c r="AC27" s="53">
        <v>5804</v>
      </c>
      <c r="AD27" s="53">
        <v>4251</v>
      </c>
      <c r="AE27" s="53"/>
      <c r="AF27" s="54" t="s">
        <v>75</v>
      </c>
      <c r="AG27" s="53" t="s">
        <v>61</v>
      </c>
      <c r="AH27" s="53"/>
      <c r="AI27" s="53">
        <f>7649+526</f>
        <v>8175</v>
      </c>
    </row>
    <row r="28" spans="1:35" ht="153" x14ac:dyDescent="0.2">
      <c r="A28" s="46">
        <v>8</v>
      </c>
      <c r="B28" s="47" t="s">
        <v>76</v>
      </c>
      <c r="C28" s="48" t="str">
        <f t="shared" ca="1" si="0"/>
        <v xml:space="preserve">Демонтаж ограждения кровель перилами
100 м ограждения
КОЭФ. К ПОЗИЦИИ:
Демонтаж (разборка) металлических конструкций ОЗП=0,7; ЭМ=0,7 к расх.; ЗПМ=0,7; МАТ=0 к расх.; ТЗ=0,7; ТЗМ=0,7
924 руб. НР 92%=120%*(0,85*0,9) от ФОТ (1004 руб.)
442 руб.СП 44%=65%*(0,8*0,85) от ФОТ (1004 руб.)
</v>
      </c>
      <c r="D28" s="46">
        <v>1.375</v>
      </c>
      <c r="E28" s="49" t="s">
        <v>77</v>
      </c>
      <c r="F28" s="49" t="s">
        <v>78</v>
      </c>
      <c r="G28" s="49"/>
      <c r="H28" s="50" t="s">
        <v>79</v>
      </c>
      <c r="I28" s="51">
        <v>1464</v>
      </c>
      <c r="J28" s="49">
        <v>938</v>
      </c>
      <c r="K28" s="49" t="s">
        <v>80</v>
      </c>
      <c r="L28" s="49" t="str">
        <f>IF(1.375*0=0," ",TEXT(,ROUND((1.375*0*7.67),2)))</f>
        <v xml:space="preserve"> </v>
      </c>
      <c r="M28" s="49" t="s">
        <v>81</v>
      </c>
      <c r="N28" s="49" t="s">
        <v>82</v>
      </c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3" t="s">
        <v>83</v>
      </c>
      <c r="AB28" s="53" t="s">
        <v>84</v>
      </c>
      <c r="AC28" s="53">
        <v>924</v>
      </c>
      <c r="AD28" s="53">
        <v>442</v>
      </c>
      <c r="AE28" s="55" t="s">
        <v>85</v>
      </c>
      <c r="AF28" s="54" t="s">
        <v>86</v>
      </c>
      <c r="AG28" s="53" t="s">
        <v>87</v>
      </c>
      <c r="AH28" s="53"/>
      <c r="AI28" s="53">
        <f>938+66</f>
        <v>1004</v>
      </c>
    </row>
    <row r="29" spans="1:35" ht="114.75" x14ac:dyDescent="0.2">
      <c r="A29" s="46">
        <v>9</v>
      </c>
      <c r="B29" s="47" t="s">
        <v>88</v>
      </c>
      <c r="C29" s="48" t="str">
        <f t="shared" ca="1" si="0"/>
        <v xml:space="preserve">Разборка покрытий кровель: из рулонных материалов
100 м2 покрытия
1575 руб. НР 84%=110%*(0,85*0,9) от ФОТ (1875 руб.)
900 руб.СП 48%=70%*(0,8*0,85) от ФОТ (1875 руб.)
</v>
      </c>
      <c r="D29" s="46">
        <v>1.02</v>
      </c>
      <c r="E29" s="49" t="s">
        <v>89</v>
      </c>
      <c r="F29" s="49">
        <v>41.43</v>
      </c>
      <c r="G29" s="49"/>
      <c r="H29" s="50" t="s">
        <v>32</v>
      </c>
      <c r="I29" s="51">
        <v>2002</v>
      </c>
      <c r="J29" s="49">
        <v>1875</v>
      </c>
      <c r="K29" s="49">
        <v>126</v>
      </c>
      <c r="L29" s="49" t="str">
        <f>IF(1.02*0=0," ",TEXT(,ROUND((1.02*0*1),2)))</f>
        <v xml:space="preserve"> </v>
      </c>
      <c r="M29" s="49">
        <v>14.38</v>
      </c>
      <c r="N29" s="49">
        <v>14.67</v>
      </c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3" t="s">
        <v>33</v>
      </c>
      <c r="AB29" s="53" t="s">
        <v>34</v>
      </c>
      <c r="AC29" s="53">
        <v>1575</v>
      </c>
      <c r="AD29" s="53">
        <v>900</v>
      </c>
      <c r="AE29" s="53"/>
      <c r="AF29" s="54" t="s">
        <v>90</v>
      </c>
      <c r="AG29" s="53" t="s">
        <v>36</v>
      </c>
      <c r="AH29" s="53"/>
      <c r="AI29" s="53">
        <f>1875+0</f>
        <v>1875</v>
      </c>
    </row>
    <row r="30" spans="1:35" ht="89.25" x14ac:dyDescent="0.2">
      <c r="A30" s="46">
        <v>10</v>
      </c>
      <c r="B30" s="47" t="s">
        <v>91</v>
      </c>
      <c r="C30" s="48" t="str">
        <f t="shared" ca="1" si="0"/>
        <v xml:space="preserve">Затаривание строительного мусора в мешки Шлак
1 т
5592 руб. НР 66%=78%*0,85 от ФОТ (8472 руб.)
3389 руб.СП 40%=50%*0,8 от ФОТ (8472 руб.)
</v>
      </c>
      <c r="D30" s="46" t="s">
        <v>92</v>
      </c>
      <c r="E30" s="49" t="s">
        <v>93</v>
      </c>
      <c r="F30" s="49"/>
      <c r="G30" s="49">
        <v>16.399999999999999</v>
      </c>
      <c r="H30" s="50" t="s">
        <v>94</v>
      </c>
      <c r="I30" s="51">
        <v>16893</v>
      </c>
      <c r="J30" s="49">
        <v>8472</v>
      </c>
      <c r="K30" s="49"/>
      <c r="L30" s="49" t="str">
        <f>IF(69.564*16.4=0," ",TEXT(,ROUND((69.564*16.4*7.38),2)))</f>
        <v>8419,47</v>
      </c>
      <c r="M30" s="49">
        <v>1.03</v>
      </c>
      <c r="N30" s="49">
        <v>71.650000000000006</v>
      </c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3" t="s">
        <v>95</v>
      </c>
      <c r="AB30" s="53" t="s">
        <v>96</v>
      </c>
      <c r="AC30" s="53">
        <v>5592</v>
      </c>
      <c r="AD30" s="53">
        <v>3389</v>
      </c>
      <c r="AE30" s="53"/>
      <c r="AF30" s="54" t="s">
        <v>97</v>
      </c>
      <c r="AG30" s="53" t="s">
        <v>98</v>
      </c>
      <c r="AH30" s="53"/>
      <c r="AI30" s="53">
        <f>8472+0</f>
        <v>8472</v>
      </c>
    </row>
    <row r="31" spans="1:35" ht="89.25" x14ac:dyDescent="0.2">
      <c r="A31" s="46">
        <v>11</v>
      </c>
      <c r="B31" s="47" t="s">
        <v>99</v>
      </c>
      <c r="C31" s="48" t="str">
        <f t="shared" ca="1" si="0"/>
        <v xml:space="preserve">Разборка трубопроводов из чугунных канализационных труб диаметром: 150 мм
100 м трубопровода с фасонными частями
5015 руб. НР 63%=74%*0,85 от ФОТ (7961 руб.)
3184 руб.СП 40%=50%*0,8 от ФОТ (7961 руб.)
</v>
      </c>
      <c r="D31" s="46">
        <v>0.51</v>
      </c>
      <c r="E31" s="49" t="s">
        <v>100</v>
      </c>
      <c r="F31" s="49" t="s">
        <v>101</v>
      </c>
      <c r="G31" s="49"/>
      <c r="H31" s="50" t="s">
        <v>102</v>
      </c>
      <c r="I31" s="51">
        <v>7970</v>
      </c>
      <c r="J31" s="49">
        <v>7912</v>
      </c>
      <c r="K31" s="49" t="s">
        <v>103</v>
      </c>
      <c r="L31" s="49" t="str">
        <f>IF(0.51*0=0," ",TEXT(,ROUND((0.51*0*1),2)))</f>
        <v xml:space="preserve"> </v>
      </c>
      <c r="M31" s="49" t="s">
        <v>104</v>
      </c>
      <c r="N31" s="49" t="s">
        <v>105</v>
      </c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3" t="s">
        <v>106</v>
      </c>
      <c r="AB31" s="53" t="s">
        <v>96</v>
      </c>
      <c r="AC31" s="53">
        <v>5015</v>
      </c>
      <c r="AD31" s="53">
        <v>3184</v>
      </c>
      <c r="AE31" s="53"/>
      <c r="AF31" s="54" t="s">
        <v>107</v>
      </c>
      <c r="AG31" s="53" t="s">
        <v>108</v>
      </c>
      <c r="AH31" s="53"/>
      <c r="AI31" s="53">
        <f>7912+49</f>
        <v>7961</v>
      </c>
    </row>
    <row r="32" spans="1:35" ht="102" x14ac:dyDescent="0.2">
      <c r="A32" s="56">
        <v>12</v>
      </c>
      <c r="B32" s="57" t="s">
        <v>109</v>
      </c>
      <c r="C32" s="58" t="str">
        <f t="shared" ca="1" si="0"/>
        <v xml:space="preserve">Разборка бетонных оснований под полы: на гравии
1 м3
290 руб. НР 84%=110%*(0,85*0,9) от ФОТ (345 руб.)
166 руб.СП 48%=70%*(0,8*0,85) от ФОТ (345 руб.)
</v>
      </c>
      <c r="D32" s="56">
        <v>0.20349999999999999</v>
      </c>
      <c r="E32" s="59" t="s">
        <v>110</v>
      </c>
      <c r="F32" s="59" t="s">
        <v>111</v>
      </c>
      <c r="G32" s="59"/>
      <c r="H32" s="60" t="s">
        <v>112</v>
      </c>
      <c r="I32" s="61">
        <v>579</v>
      </c>
      <c r="J32" s="59">
        <v>263</v>
      </c>
      <c r="K32" s="59" t="s">
        <v>113</v>
      </c>
      <c r="L32" s="59" t="str">
        <f>IF(0.2035*0=0," ",TEXT(,ROUND((0.2035*0*1),2)))</f>
        <v xml:space="preserve"> </v>
      </c>
      <c r="M32" s="59" t="s">
        <v>114</v>
      </c>
      <c r="N32" s="59" t="s">
        <v>115</v>
      </c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3" t="s">
        <v>33</v>
      </c>
      <c r="AB32" s="53" t="s">
        <v>34</v>
      </c>
      <c r="AC32" s="53">
        <v>290</v>
      </c>
      <c r="AD32" s="53">
        <v>166</v>
      </c>
      <c r="AE32" s="53"/>
      <c r="AF32" s="54" t="s">
        <v>116</v>
      </c>
      <c r="AG32" s="53" t="s">
        <v>117</v>
      </c>
      <c r="AH32" s="53"/>
      <c r="AI32" s="53">
        <f>263+82</f>
        <v>345</v>
      </c>
    </row>
    <row r="33" spans="1:35" ht="25.5" x14ac:dyDescent="0.2">
      <c r="A33" s="70" t="s">
        <v>118</v>
      </c>
      <c r="B33" s="65"/>
      <c r="C33" s="65"/>
      <c r="D33" s="65"/>
      <c r="E33" s="65"/>
      <c r="F33" s="65"/>
      <c r="G33" s="65"/>
      <c r="H33" s="65"/>
      <c r="I33" s="51">
        <v>8000</v>
      </c>
      <c r="J33" s="49">
        <v>5667</v>
      </c>
      <c r="K33" s="49" t="s">
        <v>119</v>
      </c>
      <c r="L33" s="49">
        <v>1141</v>
      </c>
      <c r="M33" s="49"/>
      <c r="N33" s="49" t="s">
        <v>120</v>
      </c>
      <c r="O33" s="18"/>
      <c r="P33" s="19"/>
      <c r="Q33" s="18"/>
      <c r="R33" s="18"/>
      <c r="S33" s="18"/>
      <c r="T33" s="18"/>
      <c r="U33" s="18"/>
      <c r="V33" s="18"/>
      <c r="W33" s="18"/>
      <c r="X33" s="18"/>
      <c r="Y33" s="18"/>
      <c r="Z33" s="18"/>
      <c r="AF33" s="4"/>
    </row>
    <row r="34" spans="1:35" ht="25.5" x14ac:dyDescent="0.2">
      <c r="A34" s="70" t="s">
        <v>121</v>
      </c>
      <c r="B34" s="65"/>
      <c r="C34" s="65"/>
      <c r="D34" s="65"/>
      <c r="E34" s="65"/>
      <c r="F34" s="65"/>
      <c r="G34" s="65"/>
      <c r="H34" s="65"/>
      <c r="I34" s="51">
        <v>112722</v>
      </c>
      <c r="J34" s="49">
        <v>93221</v>
      </c>
      <c r="K34" s="49" t="s">
        <v>122</v>
      </c>
      <c r="L34" s="49">
        <v>8421</v>
      </c>
      <c r="M34" s="49"/>
      <c r="N34" s="49" t="s">
        <v>120</v>
      </c>
      <c r="O34" s="18"/>
      <c r="P34" s="19"/>
      <c r="Q34" s="18"/>
      <c r="R34" s="18"/>
      <c r="S34" s="18"/>
      <c r="T34" s="18"/>
      <c r="U34" s="18"/>
      <c r="V34" s="18"/>
      <c r="W34" s="18"/>
      <c r="X34" s="18"/>
      <c r="Y34" s="18"/>
      <c r="Z34" s="18"/>
      <c r="AF34" s="4"/>
    </row>
    <row r="35" spans="1:35" x14ac:dyDescent="0.2">
      <c r="A35" s="70" t="s">
        <v>123</v>
      </c>
      <c r="B35" s="65"/>
      <c r="C35" s="65"/>
      <c r="D35" s="65"/>
      <c r="E35" s="65"/>
      <c r="F35" s="65"/>
      <c r="G35" s="65"/>
      <c r="H35" s="65"/>
      <c r="I35" s="51">
        <v>69624</v>
      </c>
      <c r="J35" s="49"/>
      <c r="K35" s="49"/>
      <c r="L35" s="49"/>
      <c r="M35" s="49"/>
      <c r="N35" s="49"/>
      <c r="O35" s="18"/>
      <c r="P35" s="19"/>
      <c r="Q35" s="18"/>
      <c r="R35" s="18"/>
      <c r="S35" s="18"/>
      <c r="T35" s="5"/>
      <c r="U35" s="5"/>
      <c r="V35" s="5"/>
      <c r="W35" s="5"/>
      <c r="X35" s="5"/>
      <c r="Y35" s="5"/>
      <c r="Z35" s="5"/>
    </row>
    <row r="36" spans="1:35" x14ac:dyDescent="0.2">
      <c r="A36" s="70" t="s">
        <v>124</v>
      </c>
      <c r="B36" s="65"/>
      <c r="C36" s="65"/>
      <c r="D36" s="65"/>
      <c r="E36" s="65"/>
      <c r="F36" s="65"/>
      <c r="G36" s="65"/>
      <c r="H36" s="65"/>
      <c r="I36" s="51">
        <v>46706</v>
      </c>
      <c r="J36" s="49"/>
      <c r="K36" s="49"/>
      <c r="L36" s="49"/>
      <c r="M36" s="49"/>
      <c r="N36" s="49"/>
      <c r="O36" s="18"/>
      <c r="P36" s="19"/>
      <c r="Q36" s="18"/>
      <c r="R36" s="18"/>
      <c r="S36" s="18"/>
    </row>
    <row r="37" spans="1:35" ht="25.5" x14ac:dyDescent="0.2">
      <c r="A37" s="71" t="s">
        <v>125</v>
      </c>
      <c r="B37" s="72"/>
      <c r="C37" s="72"/>
      <c r="D37" s="72"/>
      <c r="E37" s="72"/>
      <c r="F37" s="72"/>
      <c r="G37" s="72"/>
      <c r="H37" s="72"/>
      <c r="I37" s="61">
        <v>229052</v>
      </c>
      <c r="J37" s="59"/>
      <c r="K37" s="59"/>
      <c r="L37" s="59"/>
      <c r="M37" s="59"/>
      <c r="N37" s="59" t="s">
        <v>120</v>
      </c>
      <c r="O37" s="18"/>
      <c r="P37" s="19"/>
      <c r="Q37" s="18"/>
      <c r="R37" s="18"/>
      <c r="S37" s="18"/>
    </row>
    <row r="38" spans="1:35" ht="21" customHeight="1" x14ac:dyDescent="0.2">
      <c r="A38" s="68" t="s">
        <v>126</v>
      </c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</row>
    <row r="39" spans="1:35" ht="114.75" x14ac:dyDescent="0.2">
      <c r="A39" s="46">
        <v>13</v>
      </c>
      <c r="B39" s="47" t="s">
        <v>127</v>
      </c>
      <c r="C39" s="48" t="str">
        <f t="shared" ref="C39:C58" ca="1" si="1">INDIRECT("AF"&amp;ROW())&amp;CHAR(10)&amp;INDIRECT("AG"&amp;ROW())&amp;IF(INDIRECT("AE"&amp;ROW())="", "", CHAR(10)&amp;INDIRECT("AE"&amp;ROW()))&amp;IF(INDIRECT("AC"&amp;ROW())="", "", CHAR(10)&amp;INDIRECT("AC"&amp;ROW())&amp;" руб. "&amp;INDIRECT("AA"&amp;ROW())&amp;" ("&amp;INDIRECT("AI"&amp;ROW())&amp;" руб.)")&amp;IF(INDIRECT("AD"&amp;ROW())="", "", CHAR(10)&amp;INDIRECT("AD"&amp;ROW())&amp;" руб."&amp;INDIRECT("AB"&amp;ROW())&amp;" ("&amp;INDIRECT("AI"&amp;ROW())&amp;" руб.)")&amp;CHAR(10)&amp;CHAR(10)</f>
        <v xml:space="preserve">Кладка из кирпича: столбов прямоугольных неармированных при высоте этажа до 4 м
1 м3 кладки
2585 руб. НР 93%=122%*(0,85*0,9) от ФОТ (2780 руб.)
1501 руб.СП 54%=80%*(0,8*0,85) от ФОТ (2780 руб.)
</v>
      </c>
      <c r="D39" s="46">
        <v>1.83</v>
      </c>
      <c r="E39" s="49" t="s">
        <v>128</v>
      </c>
      <c r="F39" s="49" t="s">
        <v>129</v>
      </c>
      <c r="G39" s="49">
        <v>822.65</v>
      </c>
      <c r="H39" s="50" t="s">
        <v>130</v>
      </c>
      <c r="I39" s="51">
        <v>10529</v>
      </c>
      <c r="J39" s="49">
        <v>2566</v>
      </c>
      <c r="K39" s="49" t="s">
        <v>131</v>
      </c>
      <c r="L39" s="49" t="str">
        <f>IF(1.83*822.65=0," ",TEXT(,ROUND((1.83*822.65*4.63),2)))</f>
        <v>6970,23</v>
      </c>
      <c r="M39" s="49" t="s">
        <v>132</v>
      </c>
      <c r="N39" s="49" t="s">
        <v>133</v>
      </c>
      <c r="O39" s="52"/>
      <c r="P39" s="52"/>
      <c r="Q39" s="52"/>
      <c r="R39" s="52"/>
      <c r="S39" s="52"/>
      <c r="T39" s="53"/>
      <c r="U39" s="53"/>
      <c r="V39" s="53"/>
      <c r="W39" s="53"/>
      <c r="X39" s="53"/>
      <c r="Y39" s="53"/>
      <c r="Z39" s="53"/>
      <c r="AA39" s="53" t="s">
        <v>134</v>
      </c>
      <c r="AB39" s="53" t="s">
        <v>135</v>
      </c>
      <c r="AC39" s="53">
        <v>2585</v>
      </c>
      <c r="AD39" s="53">
        <v>1501</v>
      </c>
      <c r="AE39" s="53"/>
      <c r="AF39" s="53" t="s">
        <v>136</v>
      </c>
      <c r="AG39" s="53" t="s">
        <v>137</v>
      </c>
      <c r="AH39" s="53"/>
      <c r="AI39" s="53">
        <f>2566+214</f>
        <v>2780</v>
      </c>
    </row>
    <row r="40" spans="1:35" ht="89.25" x14ac:dyDescent="0.2">
      <c r="A40" s="46">
        <v>14</v>
      </c>
      <c r="B40" s="47" t="s">
        <v>138</v>
      </c>
      <c r="C40" s="48" t="str">
        <f t="shared" ca="1" si="1"/>
        <v xml:space="preserve">Устройство покрытия из рулонных материалов: насухо без промазки кромок
100 м2 кровли
3247 руб. НР 71%=83%*0,85 от ФОТ (4573 руб.)
2378 руб.СП 52%=65%*0,8 от ФОТ (4573 руб.)
</v>
      </c>
      <c r="D40" s="46">
        <v>7.67</v>
      </c>
      <c r="E40" s="49" t="s">
        <v>139</v>
      </c>
      <c r="F40" s="49">
        <v>5.23</v>
      </c>
      <c r="G40" s="49">
        <v>883.33</v>
      </c>
      <c r="H40" s="50" t="s">
        <v>140</v>
      </c>
      <c r="I40" s="51">
        <v>38905</v>
      </c>
      <c r="J40" s="49">
        <v>4573</v>
      </c>
      <c r="K40" s="49">
        <v>457</v>
      </c>
      <c r="L40" s="49" t="str">
        <f>IF(7.67*883.33=0," ",TEXT(,ROUND((7.67*883.33*5),2)))</f>
        <v>33875,71</v>
      </c>
      <c r="M40" s="49">
        <v>4.5199999999999996</v>
      </c>
      <c r="N40" s="49">
        <v>34.67</v>
      </c>
      <c r="O40" s="52"/>
      <c r="P40" s="52"/>
      <c r="Q40" s="52"/>
      <c r="R40" s="52"/>
      <c r="S40" s="52"/>
      <c r="T40" s="53"/>
      <c r="U40" s="53"/>
      <c r="V40" s="53"/>
      <c r="W40" s="53"/>
      <c r="X40" s="53"/>
      <c r="Y40" s="53"/>
      <c r="Z40" s="53"/>
      <c r="AA40" s="53" t="s">
        <v>44</v>
      </c>
      <c r="AB40" s="53" t="s">
        <v>45</v>
      </c>
      <c r="AC40" s="53">
        <v>3247</v>
      </c>
      <c r="AD40" s="53">
        <v>2378</v>
      </c>
      <c r="AE40" s="53"/>
      <c r="AF40" s="53" t="s">
        <v>141</v>
      </c>
      <c r="AG40" s="53" t="s">
        <v>61</v>
      </c>
      <c r="AH40" s="53"/>
      <c r="AI40" s="53">
        <f>4573+0</f>
        <v>4573</v>
      </c>
    </row>
    <row r="41" spans="1:35" ht="63.75" x14ac:dyDescent="0.2">
      <c r="A41" s="46">
        <v>15</v>
      </c>
      <c r="B41" s="47" t="s">
        <v>142</v>
      </c>
      <c r="C41" s="48" t="str">
        <f t="shared" ca="1" si="1"/>
        <v xml:space="preserve">Рубероид кровельный с крупнозернистой посыпкой марки: РКК-350б
м2
</v>
      </c>
      <c r="D41" s="46">
        <v>-882</v>
      </c>
      <c r="E41" s="49">
        <v>7.46</v>
      </c>
      <c r="F41" s="49"/>
      <c r="G41" s="49">
        <v>7.46</v>
      </c>
      <c r="H41" s="50" t="s">
        <v>143</v>
      </c>
      <c r="I41" s="51">
        <v>-32893</v>
      </c>
      <c r="J41" s="49"/>
      <c r="K41" s="49"/>
      <c r="L41" s="49" t="str">
        <f>IF(-882*7.46=0," ",TEXT(,ROUND((-882*7.46*4.999),2)))</f>
        <v>-32892,02</v>
      </c>
      <c r="M41" s="49"/>
      <c r="N41" s="49"/>
      <c r="O41" s="52"/>
      <c r="P41" s="52"/>
      <c r="Q41" s="52"/>
      <c r="R41" s="52"/>
      <c r="S41" s="52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 t="s">
        <v>144</v>
      </c>
      <c r="AG41" s="53" t="s">
        <v>145</v>
      </c>
      <c r="AH41" s="53"/>
      <c r="AI41" s="53">
        <f>0+0</f>
        <v>0</v>
      </c>
    </row>
    <row r="42" spans="1:35" ht="63.75" x14ac:dyDescent="0.2">
      <c r="A42" s="46">
        <v>16</v>
      </c>
      <c r="B42" s="47" t="s">
        <v>146</v>
      </c>
      <c r="C42" s="48" t="str">
        <f t="shared" ca="1" si="1"/>
        <v xml:space="preserve">Изоспан: Двухслойная паропроницаемая мембрана марки В 13,60/5,58=2,44
м2
</v>
      </c>
      <c r="D42" s="46">
        <v>882</v>
      </c>
      <c r="E42" s="49">
        <v>2.44</v>
      </c>
      <c r="F42" s="49"/>
      <c r="G42" s="49">
        <v>2.44</v>
      </c>
      <c r="H42" s="50" t="s">
        <v>147</v>
      </c>
      <c r="I42" s="51">
        <v>12008</v>
      </c>
      <c r="J42" s="49"/>
      <c r="K42" s="49"/>
      <c r="L42" s="49" t="str">
        <f>IF(882*2.44=0," ",TEXT(,ROUND((882*2.44*5.58),2)))</f>
        <v>12008,61</v>
      </c>
      <c r="M42" s="49"/>
      <c r="N42" s="49"/>
      <c r="O42" s="52"/>
      <c r="P42" s="52"/>
      <c r="Q42" s="52"/>
      <c r="R42" s="52"/>
      <c r="S42" s="52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 t="s">
        <v>148</v>
      </c>
      <c r="AG42" s="53" t="s">
        <v>145</v>
      </c>
      <c r="AH42" s="53"/>
      <c r="AI42" s="53">
        <f>0+0</f>
        <v>0</v>
      </c>
    </row>
    <row r="43" spans="1:35" ht="153" x14ac:dyDescent="0.2">
      <c r="A43" s="46">
        <v>17</v>
      </c>
      <c r="B43" s="47" t="s">
        <v>149</v>
      </c>
      <c r="C43" s="48" t="str">
        <f t="shared" ca="1" si="1"/>
        <v xml:space="preserve">Утепление покрытий плитами: из минеральной ваты или перлита на битумной мастике в один слой
100 м2 утепляемого покрытия
КОЭФ. К ПОЗИЦИИ:
материалы МАТ=0 к расх.
49473 руб. НР 92%=120%*(0,85*0,9) от ФОТ (53775 руб.)
23661 руб.СП 44%=65%*(0,8*0,85) от ФОТ (53775 руб.)
</v>
      </c>
      <c r="D43" s="46">
        <v>6.4409999999999998</v>
      </c>
      <c r="E43" s="49" t="s">
        <v>150</v>
      </c>
      <c r="F43" s="49" t="s">
        <v>151</v>
      </c>
      <c r="G43" s="49"/>
      <c r="H43" s="50" t="s">
        <v>152</v>
      </c>
      <c r="I43" s="51">
        <v>62383</v>
      </c>
      <c r="J43" s="49">
        <v>52788</v>
      </c>
      <c r="K43" s="49" t="s">
        <v>153</v>
      </c>
      <c r="L43" s="49" t="str">
        <f>IF(6.441*0=0," ",TEXT(,ROUND((6.441*0*6.8),2)))</f>
        <v xml:space="preserve"> </v>
      </c>
      <c r="M43" s="49" t="s">
        <v>154</v>
      </c>
      <c r="N43" s="49" t="s">
        <v>155</v>
      </c>
      <c r="O43" s="52"/>
      <c r="P43" s="52"/>
      <c r="Q43" s="52"/>
      <c r="R43" s="52"/>
      <c r="S43" s="52"/>
      <c r="T43" s="53"/>
      <c r="U43" s="53"/>
      <c r="V43" s="53"/>
      <c r="W43" s="53"/>
      <c r="X43" s="53"/>
      <c r="Y43" s="53"/>
      <c r="Z43" s="53"/>
      <c r="AA43" s="53" t="s">
        <v>83</v>
      </c>
      <c r="AB43" s="53" t="s">
        <v>84</v>
      </c>
      <c r="AC43" s="53">
        <v>49473</v>
      </c>
      <c r="AD43" s="53">
        <v>23661</v>
      </c>
      <c r="AE43" s="55" t="s">
        <v>156</v>
      </c>
      <c r="AF43" s="53" t="s">
        <v>157</v>
      </c>
      <c r="AG43" s="53" t="s">
        <v>158</v>
      </c>
      <c r="AH43" s="53"/>
      <c r="AI43" s="53">
        <f>52788+987</f>
        <v>53775</v>
      </c>
    </row>
    <row r="44" spans="1:35" ht="51" x14ac:dyDescent="0.2">
      <c r="A44" s="46">
        <v>18</v>
      </c>
      <c r="B44" s="47" t="s">
        <v>159</v>
      </c>
      <c r="C44" s="48" t="str">
        <f t="shared" ca="1" si="1"/>
        <v xml:space="preserve">Котлы битумные передвижные 400 л
маш.-ч
</v>
      </c>
      <c r="D44" s="46">
        <v>-11.85</v>
      </c>
      <c r="E44" s="49">
        <v>30</v>
      </c>
      <c r="F44" s="49">
        <v>30</v>
      </c>
      <c r="G44" s="49"/>
      <c r="H44" s="50" t="s">
        <v>160</v>
      </c>
      <c r="I44" s="51">
        <v>-2416</v>
      </c>
      <c r="J44" s="49"/>
      <c r="K44" s="49">
        <v>-2416</v>
      </c>
      <c r="L44" s="49" t="str">
        <f>IF(-11.85*0=0," ",TEXT(,ROUND((-11.85*0*1),2)))</f>
        <v xml:space="preserve"> </v>
      </c>
      <c r="M44" s="49"/>
      <c r="N44" s="49"/>
      <c r="O44" s="52"/>
      <c r="P44" s="52"/>
      <c r="Q44" s="52"/>
      <c r="R44" s="52"/>
      <c r="S44" s="52"/>
      <c r="T44" s="53"/>
      <c r="U44" s="53"/>
      <c r="V44" s="53"/>
      <c r="W44" s="53"/>
      <c r="X44" s="53"/>
      <c r="Y44" s="53"/>
      <c r="Z44" s="53"/>
      <c r="AA44" s="53" t="s">
        <v>161</v>
      </c>
      <c r="AB44" s="53" t="s">
        <v>162</v>
      </c>
      <c r="AC44" s="53"/>
      <c r="AD44" s="53"/>
      <c r="AE44" s="53"/>
      <c r="AF44" s="53" t="s">
        <v>163</v>
      </c>
      <c r="AG44" s="53" t="s">
        <v>164</v>
      </c>
      <c r="AH44" s="53"/>
      <c r="AI44" s="53">
        <f>0+0</f>
        <v>0</v>
      </c>
    </row>
    <row r="45" spans="1:35" ht="178.5" x14ac:dyDescent="0.2">
      <c r="A45" s="46">
        <v>19</v>
      </c>
      <c r="B45" s="47" t="s">
        <v>165</v>
      </c>
      <c r="C45" s="48" t="str">
        <f t="shared" ca="1" si="1"/>
        <v xml:space="preserve">Утепление покрытий плитами: на каждый последующий слой добавлять к расценке 12-01-013-03
100 м2 утепляемого покрытия
КОЭФ. К ПОЗИЦИИ:
Всего толщ. 150 мм ПЗ=2 (ОЗП=2; ЭМ=2 к расх.; ЗПМ=2; МАТ=2 к расх.; ТЗ=2; ТЗМ=2);
материалы МАТ=0 к расх.
77002 руб. НР 92%=120%*(0,85*0,9) от ФОТ (83698 руб.)
36827 руб.СП 44%=65%*(0,8*0,85) от ФОТ (83698 руб.)
</v>
      </c>
      <c r="D45" s="46">
        <v>6.4409999999999998</v>
      </c>
      <c r="E45" s="49" t="s">
        <v>166</v>
      </c>
      <c r="F45" s="49" t="s">
        <v>167</v>
      </c>
      <c r="G45" s="49"/>
      <c r="H45" s="50" t="s">
        <v>152</v>
      </c>
      <c r="I45" s="51">
        <v>100086</v>
      </c>
      <c r="J45" s="49">
        <v>81724</v>
      </c>
      <c r="K45" s="49" t="s">
        <v>168</v>
      </c>
      <c r="L45" s="49" t="str">
        <f>IF(6.441*0=0," ",TEXT(,ROUND((6.441*0*6.8),2)))</f>
        <v xml:space="preserve"> </v>
      </c>
      <c r="M45" s="49" t="s">
        <v>169</v>
      </c>
      <c r="N45" s="49" t="s">
        <v>170</v>
      </c>
      <c r="O45" s="52"/>
      <c r="P45" s="52"/>
      <c r="Q45" s="52"/>
      <c r="R45" s="52"/>
      <c r="S45" s="52"/>
      <c r="T45" s="53"/>
      <c r="U45" s="53"/>
      <c r="V45" s="53"/>
      <c r="W45" s="53"/>
      <c r="X45" s="53"/>
      <c r="Y45" s="53"/>
      <c r="Z45" s="53"/>
      <c r="AA45" s="53" t="s">
        <v>83</v>
      </c>
      <c r="AB45" s="53" t="s">
        <v>84</v>
      </c>
      <c r="AC45" s="53">
        <v>77002</v>
      </c>
      <c r="AD45" s="53">
        <v>36827</v>
      </c>
      <c r="AE45" s="55" t="s">
        <v>171</v>
      </c>
      <c r="AF45" s="53" t="s">
        <v>172</v>
      </c>
      <c r="AG45" s="53" t="s">
        <v>158</v>
      </c>
      <c r="AH45" s="53"/>
      <c r="AI45" s="53">
        <f>81724+1974</f>
        <v>83698</v>
      </c>
    </row>
    <row r="46" spans="1:35" ht="51" x14ac:dyDescent="0.2">
      <c r="A46" s="46">
        <v>20</v>
      </c>
      <c r="B46" s="47" t="s">
        <v>159</v>
      </c>
      <c r="C46" s="48" t="str">
        <f t="shared" ca="1" si="1"/>
        <v xml:space="preserve">Котлы битумные передвижные 400 л
маш.-ч
</v>
      </c>
      <c r="D46" s="46">
        <v>-21.26</v>
      </c>
      <c r="E46" s="49">
        <v>30</v>
      </c>
      <c r="F46" s="49">
        <v>30</v>
      </c>
      <c r="G46" s="49"/>
      <c r="H46" s="50" t="s">
        <v>160</v>
      </c>
      <c r="I46" s="51">
        <v>-4333</v>
      </c>
      <c r="J46" s="49"/>
      <c r="K46" s="49">
        <v>-4333</v>
      </c>
      <c r="L46" s="49" t="str">
        <f>IF(-21.26*0=0," ",TEXT(,ROUND((-21.26*0*1),2)))</f>
        <v xml:space="preserve"> </v>
      </c>
      <c r="M46" s="49"/>
      <c r="N46" s="49"/>
      <c r="O46" s="52"/>
      <c r="P46" s="52"/>
      <c r="Q46" s="52"/>
      <c r="R46" s="52"/>
      <c r="S46" s="52"/>
      <c r="T46" s="53"/>
      <c r="U46" s="53"/>
      <c r="V46" s="53"/>
      <c r="W46" s="53"/>
      <c r="X46" s="53"/>
      <c r="Y46" s="53"/>
      <c r="Z46" s="53"/>
      <c r="AA46" s="53" t="s">
        <v>161</v>
      </c>
      <c r="AB46" s="53" t="s">
        <v>162</v>
      </c>
      <c r="AC46" s="53"/>
      <c r="AD46" s="53"/>
      <c r="AE46" s="53"/>
      <c r="AF46" s="53" t="s">
        <v>163</v>
      </c>
      <c r="AG46" s="53" t="s">
        <v>164</v>
      </c>
      <c r="AH46" s="53"/>
      <c r="AI46" s="53">
        <f>0+0</f>
        <v>0</v>
      </c>
    </row>
    <row r="47" spans="1:35" ht="178.5" x14ac:dyDescent="0.2">
      <c r="A47" s="46">
        <v>21</v>
      </c>
      <c r="B47" s="47" t="s">
        <v>165</v>
      </c>
      <c r="C47" s="48" t="str">
        <f t="shared" ca="1" si="1"/>
        <v xml:space="preserve">Утепление покрытий плитами: на каждый последующий слой добавлять к расценке 12-01-013-03
100 м2 утепляемого покрытия
КОЭФ. К ПОЗИЦИИ:
За 2 раза ПЗ=2 (ОЗП=2; ЭМ=2 к расх.; ЗПМ=2; МАТ=2 к расх.; ТЗ=2; ТЗМ=2);
материалы МАТ=0 к расх.
16254 руб. НР 92%=120%*(0,85*0,9) от ФОТ (17667 руб.)
7773 руб.СП 44%=65%*(0,8*0,85) от ФОТ (17667 руб.)
</v>
      </c>
      <c r="D47" s="46">
        <v>1.36</v>
      </c>
      <c r="E47" s="49" t="s">
        <v>166</v>
      </c>
      <c r="F47" s="49" t="s">
        <v>167</v>
      </c>
      <c r="G47" s="49"/>
      <c r="H47" s="50" t="s">
        <v>152</v>
      </c>
      <c r="I47" s="51">
        <v>21130</v>
      </c>
      <c r="J47" s="49">
        <v>17256</v>
      </c>
      <c r="K47" s="49" t="s">
        <v>173</v>
      </c>
      <c r="L47" s="49" t="str">
        <f>IF(1.36*0=0," ",TEXT(,ROUND((1.36*0*6.8),2)))</f>
        <v xml:space="preserve"> </v>
      </c>
      <c r="M47" s="49" t="s">
        <v>169</v>
      </c>
      <c r="N47" s="49" t="s">
        <v>174</v>
      </c>
      <c r="O47" s="52"/>
      <c r="P47" s="52"/>
      <c r="Q47" s="52"/>
      <c r="R47" s="52"/>
      <c r="S47" s="52"/>
      <c r="T47" s="53"/>
      <c r="U47" s="53"/>
      <c r="V47" s="53"/>
      <c r="W47" s="53"/>
      <c r="X47" s="53"/>
      <c r="Y47" s="53"/>
      <c r="Z47" s="53"/>
      <c r="AA47" s="53" t="s">
        <v>83</v>
      </c>
      <c r="AB47" s="53" t="s">
        <v>84</v>
      </c>
      <c r="AC47" s="53">
        <v>16254</v>
      </c>
      <c r="AD47" s="53">
        <v>7773</v>
      </c>
      <c r="AE47" s="55" t="s">
        <v>175</v>
      </c>
      <c r="AF47" s="53" t="s">
        <v>172</v>
      </c>
      <c r="AG47" s="53" t="s">
        <v>158</v>
      </c>
      <c r="AH47" s="53"/>
      <c r="AI47" s="53">
        <f>17256+411</f>
        <v>17667</v>
      </c>
    </row>
    <row r="48" spans="1:35" ht="51" x14ac:dyDescent="0.2">
      <c r="A48" s="46">
        <v>22</v>
      </c>
      <c r="B48" s="47" t="s">
        <v>159</v>
      </c>
      <c r="C48" s="48" t="str">
        <f t="shared" ca="1" si="1"/>
        <v xml:space="preserve">Котлы битумные передвижные 400 л
маш.-ч
</v>
      </c>
      <c r="D48" s="46">
        <v>-4.49</v>
      </c>
      <c r="E48" s="49">
        <v>30</v>
      </c>
      <c r="F48" s="49">
        <v>30</v>
      </c>
      <c r="G48" s="49"/>
      <c r="H48" s="50" t="s">
        <v>160</v>
      </c>
      <c r="I48" s="51">
        <v>-918</v>
      </c>
      <c r="J48" s="49"/>
      <c r="K48" s="49">
        <v>-918</v>
      </c>
      <c r="L48" s="49" t="str">
        <f>IF(-4.49*0=0," ",TEXT(,ROUND((-4.49*0*1),2)))</f>
        <v xml:space="preserve"> </v>
      </c>
      <c r="M48" s="49"/>
      <c r="N48" s="49"/>
      <c r="O48" s="52"/>
      <c r="P48" s="52"/>
      <c r="Q48" s="52"/>
      <c r="R48" s="52"/>
      <c r="S48" s="52"/>
      <c r="T48" s="53"/>
      <c r="U48" s="53"/>
      <c r="V48" s="53"/>
      <c r="W48" s="53"/>
      <c r="X48" s="53"/>
      <c r="Y48" s="53"/>
      <c r="Z48" s="53"/>
      <c r="AA48" s="53" t="s">
        <v>161</v>
      </c>
      <c r="AB48" s="53" t="s">
        <v>162</v>
      </c>
      <c r="AC48" s="53"/>
      <c r="AD48" s="53"/>
      <c r="AE48" s="53"/>
      <c r="AF48" s="53" t="s">
        <v>163</v>
      </c>
      <c r="AG48" s="53" t="s">
        <v>164</v>
      </c>
      <c r="AH48" s="53"/>
      <c r="AI48" s="53">
        <f>0+0</f>
        <v>0</v>
      </c>
    </row>
    <row r="49" spans="1:35" ht="76.5" x14ac:dyDescent="0.2">
      <c r="A49" s="46">
        <v>23</v>
      </c>
      <c r="B49" s="47" t="s">
        <v>176</v>
      </c>
      <c r="C49" s="48" t="str">
        <f t="shared" ca="1" si="1"/>
        <v xml:space="preserve">Плиты теплоизоляционные энергетические гидрофобизированные базальтовые: ПТЭ-125 , размером 2000х1000х50 мм 3828,81/5,58=686,17
м3
</v>
      </c>
      <c r="D49" s="46" t="s">
        <v>177</v>
      </c>
      <c r="E49" s="49">
        <v>686.17</v>
      </c>
      <c r="F49" s="49"/>
      <c r="G49" s="49">
        <v>686.17</v>
      </c>
      <c r="H49" s="50" t="s">
        <v>147</v>
      </c>
      <c r="I49" s="51">
        <v>434649</v>
      </c>
      <c r="J49" s="49"/>
      <c r="K49" s="49"/>
      <c r="L49" s="49" t="str">
        <f>IF(113.52*686.17=0," ",TEXT(,ROUND((113.52*686.17*5.58),2)))</f>
        <v>434648,62</v>
      </c>
      <c r="M49" s="49"/>
      <c r="N49" s="49"/>
      <c r="O49" s="52"/>
      <c r="P49" s="52"/>
      <c r="Q49" s="52"/>
      <c r="R49" s="52"/>
      <c r="S49" s="52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 t="s">
        <v>178</v>
      </c>
      <c r="AG49" s="53" t="s">
        <v>179</v>
      </c>
      <c r="AH49" s="53"/>
      <c r="AI49" s="53">
        <f>0+0</f>
        <v>0</v>
      </c>
    </row>
    <row r="50" spans="1:35" ht="89.25" x14ac:dyDescent="0.2">
      <c r="A50" s="46">
        <v>24</v>
      </c>
      <c r="B50" s="47" t="s">
        <v>138</v>
      </c>
      <c r="C50" s="48" t="str">
        <f t="shared" ca="1" si="1"/>
        <v xml:space="preserve">Устройство покрытия из рулонных материалов: насухо без промазки кромок
100 м2 кровли
2721 руб. НР 71%=83%*0,85 от ФОТ (3833 руб.)
1993 руб.СП 52%=65%*0,8 от ФОТ (3833 руб.)
</v>
      </c>
      <c r="D50" s="46">
        <v>6.4409999999999998</v>
      </c>
      <c r="E50" s="49" t="s">
        <v>139</v>
      </c>
      <c r="F50" s="49">
        <v>5.23</v>
      </c>
      <c r="G50" s="49">
        <v>883.33</v>
      </c>
      <c r="H50" s="50" t="s">
        <v>140</v>
      </c>
      <c r="I50" s="51">
        <v>32671</v>
      </c>
      <c r="J50" s="49">
        <v>3833</v>
      </c>
      <c r="K50" s="49">
        <v>388</v>
      </c>
      <c r="L50" s="49" t="str">
        <f>IF(6.441*883.33=0," ",TEXT(,ROUND((6.441*883.33*5),2)))</f>
        <v>28447,64</v>
      </c>
      <c r="M50" s="49">
        <v>4.5199999999999996</v>
      </c>
      <c r="N50" s="49">
        <v>29.11</v>
      </c>
      <c r="O50" s="52"/>
      <c r="P50" s="52"/>
      <c r="Q50" s="52"/>
      <c r="R50" s="52"/>
      <c r="S50" s="52"/>
      <c r="T50" s="53"/>
      <c r="U50" s="53"/>
      <c r="V50" s="53"/>
      <c r="W50" s="53"/>
      <c r="X50" s="53"/>
      <c r="Y50" s="53"/>
      <c r="Z50" s="53"/>
      <c r="AA50" s="53" t="s">
        <v>44</v>
      </c>
      <c r="AB50" s="53" t="s">
        <v>45</v>
      </c>
      <c r="AC50" s="53">
        <v>2721</v>
      </c>
      <c r="AD50" s="53">
        <v>1993</v>
      </c>
      <c r="AE50" s="53"/>
      <c r="AF50" s="53" t="s">
        <v>141</v>
      </c>
      <c r="AG50" s="53" t="s">
        <v>61</v>
      </c>
      <c r="AH50" s="53"/>
      <c r="AI50" s="53">
        <f>3833+0</f>
        <v>3833</v>
      </c>
    </row>
    <row r="51" spans="1:35" ht="63.75" x14ac:dyDescent="0.2">
      <c r="A51" s="46">
        <v>25</v>
      </c>
      <c r="B51" s="47" t="s">
        <v>142</v>
      </c>
      <c r="C51" s="48" t="str">
        <f t="shared" ca="1" si="1"/>
        <v xml:space="preserve">Рубероид кровельный с крупнозернистой посыпкой марки: РКК-350б
м2
</v>
      </c>
      <c r="D51" s="46">
        <v>-740.7</v>
      </c>
      <c r="E51" s="49">
        <v>7.46</v>
      </c>
      <c r="F51" s="49"/>
      <c r="G51" s="49">
        <v>7.46</v>
      </c>
      <c r="H51" s="50" t="s">
        <v>143</v>
      </c>
      <c r="I51" s="51">
        <v>-27624</v>
      </c>
      <c r="J51" s="49"/>
      <c r="K51" s="49"/>
      <c r="L51" s="49" t="str">
        <f>IF(-740.7*7.46=0," ",TEXT(,ROUND((-740.7*7.46*4.999),2)))</f>
        <v>-27622,58</v>
      </c>
      <c r="M51" s="49"/>
      <c r="N51" s="49"/>
      <c r="O51" s="52"/>
      <c r="P51" s="52"/>
      <c r="Q51" s="52"/>
      <c r="R51" s="52"/>
      <c r="S51" s="52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 t="s">
        <v>144</v>
      </c>
      <c r="AG51" s="53" t="s">
        <v>145</v>
      </c>
      <c r="AH51" s="53"/>
      <c r="AI51" s="53">
        <f>0+0</f>
        <v>0</v>
      </c>
    </row>
    <row r="52" spans="1:35" ht="63.75" x14ac:dyDescent="0.2">
      <c r="A52" s="46">
        <v>26</v>
      </c>
      <c r="B52" s="47" t="s">
        <v>180</v>
      </c>
      <c r="C52" s="48" t="str">
        <f t="shared" ca="1" si="1"/>
        <v xml:space="preserve">Изоспан: Защитный материал марки А 19,42/5,58=3,48
м2
</v>
      </c>
      <c r="D52" s="46">
        <v>740.7</v>
      </c>
      <c r="E52" s="49">
        <v>3.48</v>
      </c>
      <c r="F52" s="49"/>
      <c r="G52" s="49">
        <v>3.48</v>
      </c>
      <c r="H52" s="50" t="s">
        <v>147</v>
      </c>
      <c r="I52" s="51">
        <v>14385</v>
      </c>
      <c r="J52" s="49"/>
      <c r="K52" s="49"/>
      <c r="L52" s="49" t="str">
        <f>IF(740.7*3.48=0," ",TEXT(,ROUND((740.7*3.48*5.58),2)))</f>
        <v>14383,21</v>
      </c>
      <c r="M52" s="49"/>
      <c r="N52" s="49"/>
      <c r="O52" s="52"/>
      <c r="P52" s="52"/>
      <c r="Q52" s="52"/>
      <c r="R52" s="52"/>
      <c r="S52" s="52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 t="s">
        <v>181</v>
      </c>
      <c r="AG52" s="53" t="s">
        <v>145</v>
      </c>
      <c r="AH52" s="53"/>
      <c r="AI52" s="53">
        <f>0+0</f>
        <v>0</v>
      </c>
    </row>
    <row r="53" spans="1:35" ht="89.25" x14ac:dyDescent="0.2">
      <c r="A53" s="46">
        <v>27</v>
      </c>
      <c r="B53" s="47" t="s">
        <v>182</v>
      </c>
      <c r="C53" s="48" t="str">
        <f t="shared" ca="1" si="1"/>
        <v xml:space="preserve">Укладка ходовых досок
100 м ходов
592 руб. НР 90%=118%*(0,85*0,9) от ФОТ (658 руб.)
283 руб.СП 43%=63%*(0,8*0,85) от ФОТ (658 руб.)
</v>
      </c>
      <c r="D53" s="46">
        <v>1.07</v>
      </c>
      <c r="E53" s="49" t="s">
        <v>183</v>
      </c>
      <c r="F53" s="49" t="s">
        <v>184</v>
      </c>
      <c r="G53" s="49">
        <v>1007.15</v>
      </c>
      <c r="H53" s="50" t="s">
        <v>185</v>
      </c>
      <c r="I53" s="51">
        <v>6573</v>
      </c>
      <c r="J53" s="49">
        <v>642</v>
      </c>
      <c r="K53" s="49" t="s">
        <v>186</v>
      </c>
      <c r="L53" s="49" t="str">
        <f>IF(1.07*1007.15=0," ",TEXT(,ROUND((1.07*1007.15*5.34),2)))</f>
        <v>5754,65</v>
      </c>
      <c r="M53" s="49" t="s">
        <v>187</v>
      </c>
      <c r="N53" s="49" t="s">
        <v>188</v>
      </c>
      <c r="O53" s="52"/>
      <c r="P53" s="52"/>
      <c r="Q53" s="52"/>
      <c r="R53" s="52"/>
      <c r="S53" s="52"/>
      <c r="T53" s="53"/>
      <c r="U53" s="53"/>
      <c r="V53" s="53"/>
      <c r="W53" s="53"/>
      <c r="X53" s="53"/>
      <c r="Y53" s="53"/>
      <c r="Z53" s="53"/>
      <c r="AA53" s="53" t="s">
        <v>189</v>
      </c>
      <c r="AB53" s="53" t="s">
        <v>190</v>
      </c>
      <c r="AC53" s="53">
        <v>592</v>
      </c>
      <c r="AD53" s="53">
        <v>283</v>
      </c>
      <c r="AE53" s="53"/>
      <c r="AF53" s="53" t="s">
        <v>191</v>
      </c>
      <c r="AG53" s="53" t="s">
        <v>192</v>
      </c>
      <c r="AH53" s="53"/>
      <c r="AI53" s="53">
        <f>642+16</f>
        <v>658</v>
      </c>
    </row>
    <row r="54" spans="1:35" ht="76.5" x14ac:dyDescent="0.2">
      <c r="A54" s="46">
        <v>28</v>
      </c>
      <c r="B54" s="47" t="s">
        <v>193</v>
      </c>
      <c r="C54" s="48" t="str">
        <f t="shared" ca="1" si="1"/>
        <v xml:space="preserve">Доски необрезные хвойных пород длиной: 4-6,5 м, все ширины, толщиной 32-40 мм, III сорта добор до проектного объема
м3
</v>
      </c>
      <c r="D54" s="46">
        <v>-1.284</v>
      </c>
      <c r="E54" s="49">
        <v>832.7</v>
      </c>
      <c r="F54" s="49"/>
      <c r="G54" s="49">
        <v>832.7</v>
      </c>
      <c r="H54" s="50" t="s">
        <v>194</v>
      </c>
      <c r="I54" s="51">
        <v>-5729</v>
      </c>
      <c r="J54" s="49"/>
      <c r="K54" s="49"/>
      <c r="L54" s="49" t="str">
        <f>IF(-1.284*832.7=0," ",TEXT(,ROUND((-1.284*832.7*5.359),2)))</f>
        <v>-5729,77</v>
      </c>
      <c r="M54" s="49"/>
      <c r="N54" s="49"/>
      <c r="O54" s="52"/>
      <c r="P54" s="52"/>
      <c r="Q54" s="52"/>
      <c r="R54" s="52"/>
      <c r="S54" s="52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 t="s">
        <v>195</v>
      </c>
      <c r="AG54" s="53" t="s">
        <v>179</v>
      </c>
      <c r="AH54" s="53"/>
      <c r="AI54" s="53">
        <f>0+0</f>
        <v>0</v>
      </c>
    </row>
    <row r="55" spans="1:35" ht="76.5" x14ac:dyDescent="0.2">
      <c r="A55" s="46">
        <v>29</v>
      </c>
      <c r="B55" s="47" t="s">
        <v>196</v>
      </c>
      <c r="C55" s="48" t="str">
        <f t="shared" ca="1" si="1"/>
        <v xml:space="preserve">Доски обрезные хвойных пород длиной: 4-6,5 м, шириной 75-150 мм, толщиной 44 мм и более, II сорта
м3
</v>
      </c>
      <c r="D55" s="46">
        <v>1.284</v>
      </c>
      <c r="E55" s="49">
        <v>1320</v>
      </c>
      <c r="F55" s="49"/>
      <c r="G55" s="49">
        <v>1320</v>
      </c>
      <c r="H55" s="50" t="s">
        <v>197</v>
      </c>
      <c r="I55" s="51">
        <v>7044</v>
      </c>
      <c r="J55" s="49"/>
      <c r="K55" s="49"/>
      <c r="L55" s="49" t="str">
        <f>IF(1.284*1320=0," ",TEXT(,ROUND((1.284*1320*4.156),2)))</f>
        <v>7043,92</v>
      </c>
      <c r="M55" s="49"/>
      <c r="N55" s="49"/>
      <c r="O55" s="52"/>
      <c r="P55" s="52"/>
      <c r="Q55" s="52"/>
      <c r="R55" s="52"/>
      <c r="S55" s="52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 t="s">
        <v>198</v>
      </c>
      <c r="AG55" s="53" t="s">
        <v>179</v>
      </c>
      <c r="AH55" s="53"/>
      <c r="AI55" s="53">
        <f>0+0</f>
        <v>0</v>
      </c>
    </row>
    <row r="56" spans="1:35" ht="89.25" x14ac:dyDescent="0.2">
      <c r="A56" s="46">
        <v>30</v>
      </c>
      <c r="B56" s="47" t="s">
        <v>199</v>
      </c>
      <c r="C56" s="48" t="str">
        <f t="shared" ca="1" si="1"/>
        <v xml:space="preserve">Установка элементов каркаса: из брусьев
1 м3 древесины в конструкции
326 руб. НР 90%=118%*(0,85*0,9) от ФОТ (362 руб.)
156 руб.СП 43%=63%*(0,8*0,85) от ФОТ (362 руб.)
</v>
      </c>
      <c r="D56" s="46">
        <v>0.1</v>
      </c>
      <c r="E56" s="49" t="s">
        <v>200</v>
      </c>
      <c r="F56" s="49">
        <v>33.51</v>
      </c>
      <c r="G56" s="49">
        <v>2189</v>
      </c>
      <c r="H56" s="50" t="s">
        <v>201</v>
      </c>
      <c r="I56" s="51">
        <v>1144</v>
      </c>
      <c r="J56" s="49">
        <v>362</v>
      </c>
      <c r="K56" s="49">
        <v>44</v>
      </c>
      <c r="L56" s="49" t="str">
        <f>IF(0.1*2189=0," ",TEXT(,ROUND((0.1*2189*3.37),2)))</f>
        <v>737,69</v>
      </c>
      <c r="M56" s="49">
        <v>22.5</v>
      </c>
      <c r="N56" s="49">
        <v>2.25</v>
      </c>
      <c r="O56" s="52"/>
      <c r="P56" s="52"/>
      <c r="Q56" s="52"/>
      <c r="R56" s="52"/>
      <c r="S56" s="52"/>
      <c r="T56" s="53"/>
      <c r="U56" s="53"/>
      <c r="V56" s="53"/>
      <c r="W56" s="53"/>
      <c r="X56" s="53"/>
      <c r="Y56" s="53"/>
      <c r="Z56" s="53"/>
      <c r="AA56" s="53" t="s">
        <v>189</v>
      </c>
      <c r="AB56" s="53" t="s">
        <v>190</v>
      </c>
      <c r="AC56" s="53">
        <v>326</v>
      </c>
      <c r="AD56" s="53">
        <v>156</v>
      </c>
      <c r="AE56" s="53"/>
      <c r="AF56" s="53" t="s">
        <v>202</v>
      </c>
      <c r="AG56" s="53" t="s">
        <v>203</v>
      </c>
      <c r="AH56" s="53"/>
      <c r="AI56" s="53">
        <f>362+0</f>
        <v>362</v>
      </c>
    </row>
    <row r="57" spans="1:35" ht="114.75" x14ac:dyDescent="0.2">
      <c r="A57" s="46">
        <v>31</v>
      </c>
      <c r="B57" s="47" t="s">
        <v>204</v>
      </c>
      <c r="C57" s="48" t="str">
        <f t="shared" ca="1" si="1"/>
        <v xml:space="preserve">Монтаж: конструкций дверей, люков, лазов для автокоптилок и пароварочных камер
1 т конструкций
1600 руб. НР 69%=90%*(0,85*0,9) от ФОТ (2319 руб.)
1345 руб.СП 58%=85%*(0,8*0,85) от ФОТ (2319 руб.)
</v>
      </c>
      <c r="D57" s="46">
        <v>0.16</v>
      </c>
      <c r="E57" s="49" t="s">
        <v>205</v>
      </c>
      <c r="F57" s="49" t="s">
        <v>206</v>
      </c>
      <c r="G57" s="49">
        <v>36.57</v>
      </c>
      <c r="H57" s="50" t="s">
        <v>207</v>
      </c>
      <c r="I57" s="51">
        <v>2553</v>
      </c>
      <c r="J57" s="49">
        <v>2303</v>
      </c>
      <c r="K57" s="49" t="s">
        <v>208</v>
      </c>
      <c r="L57" s="49" t="str">
        <f>IF(0.16*36.57=0," ",TEXT(,ROUND((0.16*36.57*5.35),2)))</f>
        <v>31,3</v>
      </c>
      <c r="M57" s="49" t="s">
        <v>209</v>
      </c>
      <c r="N57" s="49" t="s">
        <v>210</v>
      </c>
      <c r="O57" s="52"/>
      <c r="P57" s="52"/>
      <c r="Q57" s="52"/>
      <c r="R57" s="52"/>
      <c r="S57" s="52"/>
      <c r="T57" s="53"/>
      <c r="U57" s="53"/>
      <c r="V57" s="53"/>
      <c r="W57" s="53"/>
      <c r="X57" s="53"/>
      <c r="Y57" s="53"/>
      <c r="Z57" s="53"/>
      <c r="AA57" s="53" t="s">
        <v>211</v>
      </c>
      <c r="AB57" s="53" t="s">
        <v>212</v>
      </c>
      <c r="AC57" s="53">
        <v>1600</v>
      </c>
      <c r="AD57" s="53">
        <v>1345</v>
      </c>
      <c r="AE57" s="53"/>
      <c r="AF57" s="53" t="s">
        <v>213</v>
      </c>
      <c r="AG57" s="53" t="s">
        <v>214</v>
      </c>
      <c r="AH57" s="53"/>
      <c r="AI57" s="53">
        <f>2303+16</f>
        <v>2319</v>
      </c>
    </row>
    <row r="58" spans="1:35" ht="63.75" x14ac:dyDescent="0.2">
      <c r="A58" s="56">
        <v>32</v>
      </c>
      <c r="B58" s="57" t="s">
        <v>215</v>
      </c>
      <c r="C58" s="58" t="str">
        <f t="shared" ca="1" si="1"/>
        <v xml:space="preserve">Люки противопожарные: ЛПМ 01/60, 800х800 мм Вес люка  78 кг 7790,05/5,58=1396,07
шт.
</v>
      </c>
      <c r="D58" s="56">
        <v>2</v>
      </c>
      <c r="E58" s="59">
        <v>1396.07</v>
      </c>
      <c r="F58" s="59"/>
      <c r="G58" s="59">
        <v>1396.07</v>
      </c>
      <c r="H58" s="60" t="s">
        <v>147</v>
      </c>
      <c r="I58" s="61">
        <v>15579</v>
      </c>
      <c r="J58" s="59"/>
      <c r="K58" s="59"/>
      <c r="L58" s="59" t="str">
        <f>IF(2*1396.07=0," ",TEXT(,ROUND((2*1396.07*5.58),2)))</f>
        <v>15580,14</v>
      </c>
      <c r="M58" s="59"/>
      <c r="N58" s="59"/>
      <c r="O58" s="52"/>
      <c r="P58" s="52"/>
      <c r="Q58" s="52"/>
      <c r="R58" s="52"/>
      <c r="S58" s="52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 t="s">
        <v>216</v>
      </c>
      <c r="AG58" s="53" t="s">
        <v>217</v>
      </c>
      <c r="AH58" s="53"/>
      <c r="AI58" s="53">
        <f>0+0</f>
        <v>0</v>
      </c>
    </row>
    <row r="59" spans="1:35" ht="25.5" x14ac:dyDescent="0.2">
      <c r="A59" s="70" t="s">
        <v>118</v>
      </c>
      <c r="B59" s="65"/>
      <c r="C59" s="65"/>
      <c r="D59" s="65"/>
      <c r="E59" s="65"/>
      <c r="F59" s="65"/>
      <c r="G59" s="65"/>
      <c r="H59" s="65"/>
      <c r="I59" s="51">
        <v>99927</v>
      </c>
      <c r="J59" s="49">
        <v>8844</v>
      </c>
      <c r="K59" s="49" t="s">
        <v>218</v>
      </c>
      <c r="L59" s="49">
        <v>89209</v>
      </c>
      <c r="M59" s="49"/>
      <c r="N59" s="49" t="s">
        <v>219</v>
      </c>
      <c r="O59" s="18"/>
      <c r="P59" s="19"/>
      <c r="Q59" s="18"/>
      <c r="R59" s="18"/>
      <c r="S59" s="18"/>
    </row>
    <row r="60" spans="1:35" ht="25.5" x14ac:dyDescent="0.2">
      <c r="A60" s="70" t="s">
        <v>220</v>
      </c>
      <c r="B60" s="65"/>
      <c r="C60" s="65"/>
      <c r="D60" s="65"/>
      <c r="E60" s="65"/>
      <c r="F60" s="65"/>
      <c r="G60" s="65"/>
      <c r="H60" s="65"/>
      <c r="I60" s="51">
        <v>101628</v>
      </c>
      <c r="J60" s="49">
        <v>10094</v>
      </c>
      <c r="K60" s="49" t="s">
        <v>221</v>
      </c>
      <c r="L60" s="49">
        <v>89209</v>
      </c>
      <c r="M60" s="49"/>
      <c r="N60" s="49" t="s">
        <v>222</v>
      </c>
      <c r="O60" s="18"/>
      <c r="P60" s="19"/>
      <c r="Q60" s="18"/>
      <c r="R60" s="18"/>
      <c r="S60" s="18"/>
    </row>
    <row r="61" spans="1:35" x14ac:dyDescent="0.2">
      <c r="A61" s="70" t="s">
        <v>223</v>
      </c>
      <c r="B61" s="65"/>
      <c r="C61" s="65"/>
      <c r="D61" s="65"/>
      <c r="E61" s="65"/>
      <c r="F61" s="65"/>
      <c r="G61" s="65"/>
      <c r="H61" s="65"/>
      <c r="I61" s="51"/>
      <c r="J61" s="49"/>
      <c r="K61" s="49"/>
      <c r="L61" s="49"/>
      <c r="M61" s="49"/>
      <c r="N61" s="49"/>
      <c r="O61" s="18"/>
      <c r="P61" s="19"/>
      <c r="Q61" s="18"/>
      <c r="R61" s="18"/>
      <c r="S61" s="18"/>
    </row>
    <row r="62" spans="1:35" ht="27.95" customHeight="1" x14ac:dyDescent="0.2">
      <c r="A62" s="70" t="s">
        <v>224</v>
      </c>
      <c r="B62" s="65"/>
      <c r="C62" s="65"/>
      <c r="D62" s="65"/>
      <c r="E62" s="65"/>
      <c r="F62" s="65"/>
      <c r="G62" s="65"/>
      <c r="H62" s="65"/>
      <c r="I62" s="51">
        <v>1701</v>
      </c>
      <c r="J62" s="49">
        <v>1250</v>
      </c>
      <c r="K62" s="49" t="s">
        <v>225</v>
      </c>
      <c r="L62" s="49"/>
      <c r="M62" s="49"/>
      <c r="N62" s="49" t="s">
        <v>226</v>
      </c>
      <c r="O62" s="18"/>
      <c r="P62" s="19"/>
      <c r="Q62" s="18"/>
      <c r="R62" s="18"/>
      <c r="S62" s="18"/>
    </row>
    <row r="63" spans="1:35" ht="25.5" x14ac:dyDescent="0.2">
      <c r="A63" s="70" t="s">
        <v>121</v>
      </c>
      <c r="B63" s="65"/>
      <c r="C63" s="65"/>
      <c r="D63" s="65"/>
      <c r="E63" s="65"/>
      <c r="F63" s="65"/>
      <c r="G63" s="65"/>
      <c r="H63" s="65"/>
      <c r="I63" s="51">
        <v>685731</v>
      </c>
      <c r="J63" s="49">
        <v>166047</v>
      </c>
      <c r="K63" s="49" t="s">
        <v>227</v>
      </c>
      <c r="L63" s="49">
        <v>493238</v>
      </c>
      <c r="M63" s="49"/>
      <c r="N63" s="49" t="s">
        <v>222</v>
      </c>
      <c r="O63" s="18"/>
      <c r="P63" s="19"/>
      <c r="Q63" s="18"/>
      <c r="R63" s="18"/>
      <c r="S63" s="18"/>
    </row>
    <row r="64" spans="1:35" x14ac:dyDescent="0.2">
      <c r="A64" s="70" t="s">
        <v>123</v>
      </c>
      <c r="B64" s="65"/>
      <c r="C64" s="65"/>
      <c r="D64" s="65"/>
      <c r="E64" s="65"/>
      <c r="F64" s="65"/>
      <c r="G64" s="65"/>
      <c r="H64" s="65"/>
      <c r="I64" s="51">
        <v>153800</v>
      </c>
      <c r="J64" s="49"/>
      <c r="K64" s="49"/>
      <c r="L64" s="49"/>
      <c r="M64" s="49"/>
      <c r="N64" s="49"/>
      <c r="O64" s="18"/>
      <c r="P64" s="19"/>
      <c r="Q64" s="18"/>
      <c r="R64" s="18"/>
      <c r="S64" s="18"/>
    </row>
    <row r="65" spans="1:35" x14ac:dyDescent="0.2">
      <c r="A65" s="70" t="s">
        <v>124</v>
      </c>
      <c r="B65" s="65"/>
      <c r="C65" s="65"/>
      <c r="D65" s="65"/>
      <c r="E65" s="65"/>
      <c r="F65" s="65"/>
      <c r="G65" s="65"/>
      <c r="H65" s="65"/>
      <c r="I65" s="51">
        <v>75918</v>
      </c>
      <c r="J65" s="49"/>
      <c r="K65" s="49"/>
      <c r="L65" s="49"/>
      <c r="M65" s="49"/>
      <c r="N65" s="49"/>
      <c r="O65" s="18"/>
      <c r="P65" s="19"/>
      <c r="Q65" s="18"/>
      <c r="R65" s="18"/>
      <c r="S65" s="18"/>
    </row>
    <row r="66" spans="1:35" ht="25.5" x14ac:dyDescent="0.2">
      <c r="A66" s="71" t="s">
        <v>228</v>
      </c>
      <c r="B66" s="72"/>
      <c r="C66" s="72"/>
      <c r="D66" s="72"/>
      <c r="E66" s="72"/>
      <c r="F66" s="72"/>
      <c r="G66" s="72"/>
      <c r="H66" s="72"/>
      <c r="I66" s="61">
        <v>915449</v>
      </c>
      <c r="J66" s="59"/>
      <c r="K66" s="59"/>
      <c r="L66" s="59"/>
      <c r="M66" s="59"/>
      <c r="N66" s="59" t="s">
        <v>222</v>
      </c>
      <c r="O66" s="18"/>
      <c r="P66" s="19"/>
      <c r="Q66" s="18"/>
      <c r="R66" s="18"/>
      <c r="S66" s="18"/>
    </row>
    <row r="67" spans="1:35" ht="21" customHeight="1" x14ac:dyDescent="0.2">
      <c r="A67" s="68" t="s">
        <v>229</v>
      </c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69"/>
      <c r="AB67" s="69"/>
      <c r="AC67" s="69"/>
      <c r="AD67" s="69"/>
      <c r="AE67" s="69"/>
      <c r="AF67" s="69"/>
      <c r="AG67" s="69"/>
      <c r="AH67" s="69"/>
      <c r="AI67" s="69"/>
    </row>
    <row r="68" spans="1:35" ht="102" x14ac:dyDescent="0.2">
      <c r="A68" s="46">
        <v>33</v>
      </c>
      <c r="B68" s="47" t="s">
        <v>230</v>
      </c>
      <c r="C68" s="48" t="str">
        <f t="shared" ref="C68:C99" ca="1" si="2">INDIRECT("AF"&amp;ROW())&amp;CHAR(10)&amp;INDIRECT("AG"&amp;ROW())&amp;IF(INDIRECT("AE"&amp;ROW())="", "", CHAR(10)&amp;INDIRECT("AE"&amp;ROW()))&amp;IF(INDIRECT("AC"&amp;ROW())="", "", CHAR(10)&amp;INDIRECT("AC"&amp;ROW())&amp;" руб. "&amp;INDIRECT("AA"&amp;ROW())&amp;" ("&amp;INDIRECT("AI"&amp;ROW())&amp;" руб.)")&amp;IF(INDIRECT("AD"&amp;ROW())="", "", CHAR(10)&amp;INDIRECT("AD"&amp;ROW())&amp;" руб."&amp;INDIRECT("AB"&amp;ROW())&amp;" ("&amp;INDIRECT("AI"&amp;ROW())&amp;" руб.)")&amp;CHAR(10)&amp;CHAR(10)</f>
        <v xml:space="preserve">Установка стропил
1 м3 древесины в конструкции
120424 руб. НР 90%=118%*(0,85*0,9) от ФОТ (133804 руб.)
57536 руб.СП 43%=63%*(0,8*0,85) от ФОТ (133804 руб.)
</v>
      </c>
      <c r="D68" s="46">
        <v>34.947000000000003</v>
      </c>
      <c r="E68" s="49" t="s">
        <v>231</v>
      </c>
      <c r="F68" s="49" t="s">
        <v>232</v>
      </c>
      <c r="G68" s="49">
        <v>2062.2600000000002</v>
      </c>
      <c r="H68" s="50" t="s">
        <v>233</v>
      </c>
      <c r="I68" s="51">
        <v>417739</v>
      </c>
      <c r="J68" s="49">
        <v>132340</v>
      </c>
      <c r="K68" s="49" t="s">
        <v>234</v>
      </c>
      <c r="L68" s="49" t="str">
        <f>IF(34.947*2062.26=0," ",TEXT(,ROUND((34.947*2062.26*3.71),2)))</f>
        <v>267378,96</v>
      </c>
      <c r="M68" s="49" t="s">
        <v>235</v>
      </c>
      <c r="N68" s="49" t="s">
        <v>236</v>
      </c>
      <c r="O68" s="52"/>
      <c r="P68" s="52"/>
      <c r="Q68" s="52"/>
      <c r="R68" s="52"/>
      <c r="S68" s="52"/>
      <c r="T68" s="53"/>
      <c r="U68" s="53"/>
      <c r="V68" s="53"/>
      <c r="W68" s="53"/>
      <c r="X68" s="53"/>
      <c r="Y68" s="53"/>
      <c r="Z68" s="53"/>
      <c r="AA68" s="53" t="s">
        <v>189</v>
      </c>
      <c r="AB68" s="53" t="s">
        <v>190</v>
      </c>
      <c r="AC68" s="53">
        <v>120424</v>
      </c>
      <c r="AD68" s="53">
        <v>57536</v>
      </c>
      <c r="AE68" s="53"/>
      <c r="AF68" s="53" t="s">
        <v>237</v>
      </c>
      <c r="AG68" s="53" t="s">
        <v>203</v>
      </c>
      <c r="AH68" s="53"/>
      <c r="AI68" s="53">
        <f>132340+1464</f>
        <v>133804</v>
      </c>
    </row>
    <row r="69" spans="1:35" ht="76.5" x14ac:dyDescent="0.2">
      <c r="A69" s="46">
        <v>34</v>
      </c>
      <c r="B69" s="47" t="s">
        <v>238</v>
      </c>
      <c r="C69" s="48" t="str">
        <f t="shared" ca="1" si="2"/>
        <v xml:space="preserve">Устройство обрешетки сплошной из досок
100 м2
10745 руб. НР 71%=83%*0,85 от ФОТ (15134 руб.)
7870 руб.СП 52%=65%*0,8 от ФОТ (15134 руб.)
</v>
      </c>
      <c r="D69" s="46" t="s">
        <v>239</v>
      </c>
      <c r="E69" s="49" t="s">
        <v>240</v>
      </c>
      <c r="F69" s="49" t="s">
        <v>241</v>
      </c>
      <c r="G69" s="49">
        <v>2198.6799999999998</v>
      </c>
      <c r="H69" s="50" t="s">
        <v>242</v>
      </c>
      <c r="I69" s="51">
        <v>59333</v>
      </c>
      <c r="J69" s="49">
        <v>14789</v>
      </c>
      <c r="K69" s="49" t="s">
        <v>243</v>
      </c>
      <c r="L69" s="49" t="str">
        <f>IF(3.557*2198.68=0," ",TEXT(,ROUND((3.557*2198.68*5.51),2)))</f>
        <v>43092,08</v>
      </c>
      <c r="M69" s="49" t="s">
        <v>244</v>
      </c>
      <c r="N69" s="49" t="s">
        <v>245</v>
      </c>
      <c r="O69" s="52"/>
      <c r="P69" s="52"/>
      <c r="Q69" s="52"/>
      <c r="R69" s="52"/>
      <c r="S69" s="52"/>
      <c r="T69" s="53"/>
      <c r="U69" s="53"/>
      <c r="V69" s="53"/>
      <c r="W69" s="53"/>
      <c r="X69" s="53"/>
      <c r="Y69" s="53"/>
      <c r="Z69" s="53"/>
      <c r="AA69" s="53" t="s">
        <v>44</v>
      </c>
      <c r="AB69" s="53" t="s">
        <v>45</v>
      </c>
      <c r="AC69" s="53">
        <v>10745</v>
      </c>
      <c r="AD69" s="53">
        <v>7870</v>
      </c>
      <c r="AE69" s="53"/>
      <c r="AF69" s="53" t="s">
        <v>246</v>
      </c>
      <c r="AG69" s="53" t="s">
        <v>247</v>
      </c>
      <c r="AH69" s="53"/>
      <c r="AI69" s="53">
        <f>14789+345</f>
        <v>15134</v>
      </c>
    </row>
    <row r="70" spans="1:35" ht="63.75" x14ac:dyDescent="0.2">
      <c r="A70" s="46">
        <v>35</v>
      </c>
      <c r="B70" s="47" t="s">
        <v>248</v>
      </c>
      <c r="C70" s="48" t="str">
        <f t="shared" ca="1" si="2"/>
        <v xml:space="preserve">Доски необрезные хвойных пород длиной: 4-6,5 м, все ширины, толщиной 25 мм, III сорта
м3
</v>
      </c>
      <c r="D70" s="46">
        <v>-9.39</v>
      </c>
      <c r="E70" s="49">
        <v>792</v>
      </c>
      <c r="F70" s="49"/>
      <c r="G70" s="49">
        <v>792</v>
      </c>
      <c r="H70" s="50" t="s">
        <v>249</v>
      </c>
      <c r="I70" s="51">
        <v>-41907</v>
      </c>
      <c r="J70" s="49"/>
      <c r="K70" s="49"/>
      <c r="L70" s="49" t="str">
        <f>IF(-9.39*792=0," ",TEXT(,ROUND((-9.39*792*5.635),2)))</f>
        <v>-41906,82</v>
      </c>
      <c r="M70" s="49"/>
      <c r="N70" s="49"/>
      <c r="O70" s="52"/>
      <c r="P70" s="52"/>
      <c r="Q70" s="52"/>
      <c r="R70" s="52"/>
      <c r="S70" s="52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3"/>
      <c r="AF70" s="53" t="s">
        <v>250</v>
      </c>
      <c r="AG70" s="53" t="s">
        <v>179</v>
      </c>
      <c r="AH70" s="53"/>
      <c r="AI70" s="53">
        <f>0+0</f>
        <v>0</v>
      </c>
    </row>
    <row r="71" spans="1:35" ht="76.5" x14ac:dyDescent="0.2">
      <c r="A71" s="46">
        <v>36</v>
      </c>
      <c r="B71" s="47" t="s">
        <v>196</v>
      </c>
      <c r="C71" s="48" t="str">
        <f t="shared" ca="1" si="2"/>
        <v xml:space="preserve">Доски обрезные хвойных пород длиной: 4-6,5 м, шириной 75-150 мм, толщиной 44 мм и более, II сорта
м3
</v>
      </c>
      <c r="D71" s="46">
        <v>18.78</v>
      </c>
      <c r="E71" s="49">
        <v>1320</v>
      </c>
      <c r="F71" s="49"/>
      <c r="G71" s="49">
        <v>1320</v>
      </c>
      <c r="H71" s="50" t="s">
        <v>197</v>
      </c>
      <c r="I71" s="51">
        <v>103027</v>
      </c>
      <c r="J71" s="49"/>
      <c r="K71" s="49"/>
      <c r="L71" s="49" t="str">
        <f>IF(18.78*1320=0," ",TEXT(,ROUND((18.78*1320*4.156),2)))</f>
        <v>103025,58</v>
      </c>
      <c r="M71" s="49"/>
      <c r="N71" s="49"/>
      <c r="O71" s="52"/>
      <c r="P71" s="52"/>
      <c r="Q71" s="52"/>
      <c r="R71" s="52"/>
      <c r="S71" s="52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3"/>
      <c r="AF71" s="53" t="s">
        <v>198</v>
      </c>
      <c r="AG71" s="53" t="s">
        <v>179</v>
      </c>
      <c r="AH71" s="53"/>
      <c r="AI71" s="53">
        <f>0+0</f>
        <v>0</v>
      </c>
    </row>
    <row r="72" spans="1:35" ht="89.25" x14ac:dyDescent="0.2">
      <c r="A72" s="46">
        <v>37</v>
      </c>
      <c r="B72" s="47" t="s">
        <v>251</v>
      </c>
      <c r="C72" s="48" t="str">
        <f t="shared" ca="1" si="2"/>
        <v xml:space="preserve">Устройство обрешетки с прозорами из досок и брусков под кровлю: из листовой стали
100 м2
6996 руб. НР 71%=83%*0,85 от ФОТ (9854 руб.)
5124 руб.СП 52%=65%*0,8 от ФОТ (9854 руб.)
</v>
      </c>
      <c r="D72" s="46">
        <v>3.4430000000000001</v>
      </c>
      <c r="E72" s="49" t="s">
        <v>252</v>
      </c>
      <c r="F72" s="49" t="s">
        <v>253</v>
      </c>
      <c r="G72" s="49">
        <v>1570.73</v>
      </c>
      <c r="H72" s="50" t="s">
        <v>254</v>
      </c>
      <c r="I72" s="51">
        <v>38894</v>
      </c>
      <c r="J72" s="49">
        <v>9607</v>
      </c>
      <c r="K72" s="49" t="s">
        <v>255</v>
      </c>
      <c r="L72" s="49" t="str">
        <f>IF(3.443*1570.73=0," ",TEXT(,ROUND((3.443*1570.73*5.25),2)))</f>
        <v>28392,12</v>
      </c>
      <c r="M72" s="49" t="s">
        <v>256</v>
      </c>
      <c r="N72" s="49" t="s">
        <v>257</v>
      </c>
      <c r="O72" s="52"/>
      <c r="P72" s="52"/>
      <c r="Q72" s="52"/>
      <c r="R72" s="52"/>
      <c r="S72" s="52"/>
      <c r="T72" s="53"/>
      <c r="U72" s="53"/>
      <c r="V72" s="53"/>
      <c r="W72" s="53"/>
      <c r="X72" s="53"/>
      <c r="Y72" s="53"/>
      <c r="Z72" s="53"/>
      <c r="AA72" s="53" t="s">
        <v>44</v>
      </c>
      <c r="AB72" s="53" t="s">
        <v>45</v>
      </c>
      <c r="AC72" s="53">
        <v>6996</v>
      </c>
      <c r="AD72" s="53">
        <v>5124</v>
      </c>
      <c r="AE72" s="53"/>
      <c r="AF72" s="53" t="s">
        <v>258</v>
      </c>
      <c r="AG72" s="53" t="s">
        <v>247</v>
      </c>
      <c r="AH72" s="53"/>
      <c r="AI72" s="53">
        <f>9607+247</f>
        <v>9854</v>
      </c>
    </row>
    <row r="73" spans="1:35" ht="63.75" x14ac:dyDescent="0.2">
      <c r="A73" s="46">
        <v>38</v>
      </c>
      <c r="B73" s="47" t="s">
        <v>193</v>
      </c>
      <c r="C73" s="48" t="str">
        <f t="shared" ca="1" si="2"/>
        <v xml:space="preserve">Доски необрезные хвойных пород длиной: 4-6,5 м, все ширины, толщиной 32-40 мм, III сорта
м3
</v>
      </c>
      <c r="D73" s="46">
        <v>-6.1970000000000001</v>
      </c>
      <c r="E73" s="49">
        <v>832.7</v>
      </c>
      <c r="F73" s="49"/>
      <c r="G73" s="49">
        <v>832.7</v>
      </c>
      <c r="H73" s="50" t="s">
        <v>194</v>
      </c>
      <c r="I73" s="51">
        <v>-27652</v>
      </c>
      <c r="J73" s="49"/>
      <c r="K73" s="49"/>
      <c r="L73" s="49" t="str">
        <f>IF(-6.197*832.7=0," ",TEXT(,ROUND((-6.197*832.7*5.359),2)))</f>
        <v>-27653,74</v>
      </c>
      <c r="M73" s="49"/>
      <c r="N73" s="49"/>
      <c r="O73" s="52"/>
      <c r="P73" s="52"/>
      <c r="Q73" s="52"/>
      <c r="R73" s="52"/>
      <c r="S73" s="52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3"/>
      <c r="AF73" s="53" t="s">
        <v>259</v>
      </c>
      <c r="AG73" s="53" t="s">
        <v>179</v>
      </c>
      <c r="AH73" s="53"/>
      <c r="AI73" s="53">
        <f>0+0</f>
        <v>0</v>
      </c>
    </row>
    <row r="74" spans="1:35" ht="76.5" x14ac:dyDescent="0.2">
      <c r="A74" s="46">
        <v>39</v>
      </c>
      <c r="B74" s="47" t="s">
        <v>196</v>
      </c>
      <c r="C74" s="48" t="str">
        <f t="shared" ca="1" si="2"/>
        <v xml:space="preserve">Доски обрезные хвойных пород длиной: 4-6,5 м, шириной 75-150 мм, толщиной 44 мм и более, II сорта
м3
</v>
      </c>
      <c r="D74" s="46">
        <v>7.74</v>
      </c>
      <c r="E74" s="49">
        <v>1320</v>
      </c>
      <c r="F74" s="49"/>
      <c r="G74" s="49">
        <v>1320</v>
      </c>
      <c r="H74" s="50" t="s">
        <v>197</v>
      </c>
      <c r="I74" s="51">
        <v>42462</v>
      </c>
      <c r="J74" s="49"/>
      <c r="K74" s="49"/>
      <c r="L74" s="49" t="str">
        <f>IF(7.74*1320=0," ",TEXT(,ROUND((7.74*1320*4.156),2)))</f>
        <v>42461,02</v>
      </c>
      <c r="M74" s="49"/>
      <c r="N74" s="49"/>
      <c r="O74" s="52"/>
      <c r="P74" s="52"/>
      <c r="Q74" s="52"/>
      <c r="R74" s="52"/>
      <c r="S74" s="52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53" t="s">
        <v>198</v>
      </c>
      <c r="AG74" s="53" t="s">
        <v>179</v>
      </c>
      <c r="AH74" s="53"/>
      <c r="AI74" s="53">
        <f>0+0</f>
        <v>0</v>
      </c>
    </row>
    <row r="75" spans="1:35" ht="89.25" x14ac:dyDescent="0.2">
      <c r="A75" s="46">
        <v>40</v>
      </c>
      <c r="B75" s="47" t="s">
        <v>138</v>
      </c>
      <c r="C75" s="48" t="str">
        <f t="shared" ca="1" si="2"/>
        <v xml:space="preserve">Устройство покрытия из рулонных материалов: насухо без промазки кромок
100 м2 кровли
3691 руб. НР 71%=83%*0,85 от ФОТ (5198 руб.)
2703 руб.СП 52%=65%*0,8 от ФОТ (5198 руб.)
</v>
      </c>
      <c r="D75" s="46">
        <v>8.7100000000000009</v>
      </c>
      <c r="E75" s="49" t="s">
        <v>139</v>
      </c>
      <c r="F75" s="49">
        <v>5.23</v>
      </c>
      <c r="G75" s="49">
        <v>883.33</v>
      </c>
      <c r="H75" s="50" t="s">
        <v>140</v>
      </c>
      <c r="I75" s="51">
        <v>44193</v>
      </c>
      <c r="J75" s="49">
        <v>5198</v>
      </c>
      <c r="K75" s="49">
        <v>525</v>
      </c>
      <c r="L75" s="49" t="str">
        <f>IF(8.71*883.33=0," ",TEXT(,ROUND((8.71*883.33*5),2)))</f>
        <v>38469,02</v>
      </c>
      <c r="M75" s="49">
        <v>4.5199999999999996</v>
      </c>
      <c r="N75" s="49">
        <v>39.369999999999997</v>
      </c>
      <c r="O75" s="52"/>
      <c r="P75" s="52"/>
      <c r="Q75" s="52"/>
      <c r="R75" s="52"/>
      <c r="S75" s="52"/>
      <c r="T75" s="53"/>
      <c r="U75" s="53"/>
      <c r="V75" s="53"/>
      <c r="W75" s="53"/>
      <c r="X75" s="53"/>
      <c r="Y75" s="53"/>
      <c r="Z75" s="53"/>
      <c r="AA75" s="53" t="s">
        <v>44</v>
      </c>
      <c r="AB75" s="53" t="s">
        <v>45</v>
      </c>
      <c r="AC75" s="53">
        <v>3691</v>
      </c>
      <c r="AD75" s="53">
        <v>2703</v>
      </c>
      <c r="AE75" s="53"/>
      <c r="AF75" s="53" t="s">
        <v>141</v>
      </c>
      <c r="AG75" s="53" t="s">
        <v>61</v>
      </c>
      <c r="AH75" s="53"/>
      <c r="AI75" s="53">
        <f>5198+0</f>
        <v>5198</v>
      </c>
    </row>
    <row r="76" spans="1:35" ht="63.75" x14ac:dyDescent="0.2">
      <c r="A76" s="46">
        <v>41</v>
      </c>
      <c r="B76" s="47" t="s">
        <v>142</v>
      </c>
      <c r="C76" s="48" t="str">
        <f t="shared" ca="1" si="2"/>
        <v xml:space="preserve">Рубероид кровельный с крупнозернистой посыпкой марки: РКК-350б
м2
</v>
      </c>
      <c r="D76" s="46">
        <v>-1002</v>
      </c>
      <c r="E76" s="49">
        <v>7.46</v>
      </c>
      <c r="F76" s="49"/>
      <c r="G76" s="49">
        <v>7.46</v>
      </c>
      <c r="H76" s="50" t="s">
        <v>143</v>
      </c>
      <c r="I76" s="51">
        <v>-37368</v>
      </c>
      <c r="J76" s="49"/>
      <c r="K76" s="49"/>
      <c r="L76" s="49" t="str">
        <f>IF(-1002*7.46=0," ",TEXT(,ROUND((-1002*7.46*4.999),2)))</f>
        <v>-37367,13</v>
      </c>
      <c r="M76" s="49"/>
      <c r="N76" s="49"/>
      <c r="O76" s="52"/>
      <c r="P76" s="52"/>
      <c r="Q76" s="52"/>
      <c r="R76" s="52"/>
      <c r="S76" s="52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E76" s="53"/>
      <c r="AF76" s="53" t="s">
        <v>144</v>
      </c>
      <c r="AG76" s="53" t="s">
        <v>145</v>
      </c>
      <c r="AH76" s="53"/>
      <c r="AI76" s="53">
        <f>0+0</f>
        <v>0</v>
      </c>
    </row>
    <row r="77" spans="1:35" ht="63.75" x14ac:dyDescent="0.2">
      <c r="A77" s="46">
        <v>42</v>
      </c>
      <c r="B77" s="47" t="s">
        <v>260</v>
      </c>
      <c r="C77" s="48" t="str">
        <f t="shared" ca="1" si="2"/>
        <v xml:space="preserve">Изоспан: Защитный материал марки D  18,31/5,58=3,28
м2
</v>
      </c>
      <c r="D77" s="46">
        <v>1002</v>
      </c>
      <c r="E77" s="49">
        <v>3.28</v>
      </c>
      <c r="F77" s="49"/>
      <c r="G77" s="49">
        <v>3.28</v>
      </c>
      <c r="H77" s="50" t="s">
        <v>147</v>
      </c>
      <c r="I77" s="51">
        <v>18341</v>
      </c>
      <c r="J77" s="49"/>
      <c r="K77" s="49"/>
      <c r="L77" s="49" t="str">
        <f>IF(1002*3.28=0," ",TEXT(,ROUND((1002*3.28*5.58),2)))</f>
        <v>18339</v>
      </c>
      <c r="M77" s="49"/>
      <c r="N77" s="49"/>
      <c r="O77" s="52"/>
      <c r="P77" s="52"/>
      <c r="Q77" s="52"/>
      <c r="R77" s="52"/>
      <c r="S77" s="52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 t="s">
        <v>261</v>
      </c>
      <c r="AG77" s="53" t="s">
        <v>145</v>
      </c>
      <c r="AH77" s="53"/>
      <c r="AI77" s="53">
        <f>0+0</f>
        <v>0</v>
      </c>
    </row>
    <row r="78" spans="1:35" ht="102" x14ac:dyDescent="0.2">
      <c r="A78" s="46">
        <v>43</v>
      </c>
      <c r="B78" s="47" t="s">
        <v>262</v>
      </c>
      <c r="C78" s="48" t="str">
        <f t="shared" ca="1" si="2"/>
        <v xml:space="preserve">Устройство слуховых окон
1 слуховое окно
2975 руб. НР 90%=118%*(0,85*0,9) от ФОТ (3306 руб.)
1422 руб.СП 43%=63%*(0,8*0,85) от ФОТ (3306 руб.)
</v>
      </c>
      <c r="D78" s="46">
        <v>3</v>
      </c>
      <c r="E78" s="49" t="s">
        <v>263</v>
      </c>
      <c r="F78" s="49" t="s">
        <v>264</v>
      </c>
      <c r="G78" s="49">
        <v>300.2</v>
      </c>
      <c r="H78" s="50" t="s">
        <v>265</v>
      </c>
      <c r="I78" s="51">
        <v>8909</v>
      </c>
      <c r="J78" s="49">
        <v>3224</v>
      </c>
      <c r="K78" s="49" t="s">
        <v>266</v>
      </c>
      <c r="L78" s="49" t="str">
        <f>IF(3*300.2=0," ",TEXT(,ROUND((3*300.2*5.3),2)))</f>
        <v>4773,18</v>
      </c>
      <c r="M78" s="49" t="s">
        <v>267</v>
      </c>
      <c r="N78" s="49" t="s">
        <v>268</v>
      </c>
      <c r="O78" s="52"/>
      <c r="P78" s="52"/>
      <c r="Q78" s="52"/>
      <c r="R78" s="52"/>
      <c r="S78" s="52"/>
      <c r="T78" s="53"/>
      <c r="U78" s="53"/>
      <c r="V78" s="53"/>
      <c r="W78" s="53"/>
      <c r="X78" s="53"/>
      <c r="Y78" s="53"/>
      <c r="Z78" s="53"/>
      <c r="AA78" s="53" t="s">
        <v>189</v>
      </c>
      <c r="AB78" s="53" t="s">
        <v>190</v>
      </c>
      <c r="AC78" s="53">
        <v>2975</v>
      </c>
      <c r="AD78" s="53">
        <v>1422</v>
      </c>
      <c r="AE78" s="53"/>
      <c r="AF78" s="53" t="s">
        <v>269</v>
      </c>
      <c r="AG78" s="53" t="s">
        <v>270</v>
      </c>
      <c r="AH78" s="53"/>
      <c r="AI78" s="53">
        <f>3224+82</f>
        <v>3306</v>
      </c>
    </row>
    <row r="79" spans="1:35" ht="51" x14ac:dyDescent="0.2">
      <c r="A79" s="46">
        <v>44</v>
      </c>
      <c r="B79" s="47" t="s">
        <v>271</v>
      </c>
      <c r="C79" s="48" t="str">
        <f t="shared" ca="1" si="2"/>
        <v xml:space="preserve">Петли форточные накладные размером 70х55 мм
компл.
</v>
      </c>
      <c r="D79" s="46">
        <v>3</v>
      </c>
      <c r="E79" s="49">
        <v>3.74</v>
      </c>
      <c r="F79" s="49"/>
      <c r="G79" s="49">
        <v>3.74</v>
      </c>
      <c r="H79" s="50" t="s">
        <v>272</v>
      </c>
      <c r="I79" s="51">
        <v>26</v>
      </c>
      <c r="J79" s="49"/>
      <c r="K79" s="49"/>
      <c r="L79" s="49" t="str">
        <f>IF(3*3.74=0," ",TEXT(,ROUND((3*3.74*2.337),2)))</f>
        <v>26,22</v>
      </c>
      <c r="M79" s="49"/>
      <c r="N79" s="49"/>
      <c r="O79" s="52"/>
      <c r="P79" s="52"/>
      <c r="Q79" s="52"/>
      <c r="R79" s="52"/>
      <c r="S79" s="52"/>
      <c r="T79" s="53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E79" s="53"/>
      <c r="AF79" s="53" t="s">
        <v>273</v>
      </c>
      <c r="AG79" s="53" t="s">
        <v>274</v>
      </c>
      <c r="AH79" s="53"/>
      <c r="AI79" s="53">
        <f>0+0</f>
        <v>0</v>
      </c>
    </row>
    <row r="80" spans="1:35" ht="63.75" x14ac:dyDescent="0.2">
      <c r="A80" s="46">
        <v>45</v>
      </c>
      <c r="B80" s="47" t="s">
        <v>275</v>
      </c>
      <c r="C80" s="48" t="str">
        <f t="shared" ca="1" si="2"/>
        <v xml:space="preserve">Шпингалеты дверные размером 230х26 мм, оцинкованные или окрашенные
компл.
</v>
      </c>
      <c r="D80" s="46">
        <v>3</v>
      </c>
      <c r="E80" s="49">
        <v>13.42</v>
      </c>
      <c r="F80" s="49"/>
      <c r="G80" s="49">
        <v>13.42</v>
      </c>
      <c r="H80" s="50" t="s">
        <v>276</v>
      </c>
      <c r="I80" s="51">
        <v>78</v>
      </c>
      <c r="J80" s="49"/>
      <c r="K80" s="49"/>
      <c r="L80" s="49" t="str">
        <f>IF(3*13.42=0," ",TEXT(,ROUND((3*13.42*1.941),2)))</f>
        <v>78,14</v>
      </c>
      <c r="M80" s="49"/>
      <c r="N80" s="49"/>
      <c r="O80" s="52"/>
      <c r="P80" s="52"/>
      <c r="Q80" s="52"/>
      <c r="R80" s="52"/>
      <c r="S80" s="52"/>
      <c r="T80" s="53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E80" s="53"/>
      <c r="AF80" s="53" t="s">
        <v>277</v>
      </c>
      <c r="AG80" s="53" t="s">
        <v>274</v>
      </c>
      <c r="AH80" s="53"/>
      <c r="AI80" s="53">
        <f>0+0</f>
        <v>0</v>
      </c>
    </row>
    <row r="81" spans="1:35" ht="127.5" x14ac:dyDescent="0.2">
      <c r="A81" s="46">
        <v>46</v>
      </c>
      <c r="B81" s="47" t="s">
        <v>278</v>
      </c>
      <c r="C81" s="48" t="str">
        <f t="shared" ca="1" si="2"/>
        <v xml:space="preserve">Антисептическая обработка деревянных конструкций составом "Пирилакс" при помощи аппарата аэрозольно-капельного распыления
100 м2 обрабатываемой поверхности
29092 руб. НР 90%=118%*(0,85*0,9) от ФОТ (32324 руб.)
13899 руб.СП 43%=63%*(0,8*0,85) от ФОТ (32324 руб.)
</v>
      </c>
      <c r="D81" s="46">
        <v>35.270000000000003</v>
      </c>
      <c r="E81" s="49" t="s">
        <v>279</v>
      </c>
      <c r="F81" s="49" t="s">
        <v>280</v>
      </c>
      <c r="G81" s="49">
        <v>176.17</v>
      </c>
      <c r="H81" s="50" t="s">
        <v>281</v>
      </c>
      <c r="I81" s="51">
        <v>118541</v>
      </c>
      <c r="J81" s="49">
        <v>31995</v>
      </c>
      <c r="K81" s="49" t="s">
        <v>282</v>
      </c>
      <c r="L81" s="49" t="str">
        <f>IF(35.27*176.17=0," ",TEXT(,ROUND((35.27*176.17*10.78),2)))</f>
        <v>66981,7</v>
      </c>
      <c r="M81" s="49" t="s">
        <v>283</v>
      </c>
      <c r="N81" s="49" t="s">
        <v>284</v>
      </c>
      <c r="O81" s="52"/>
      <c r="P81" s="52"/>
      <c r="Q81" s="52"/>
      <c r="R81" s="52"/>
      <c r="S81" s="52"/>
      <c r="T81" s="53"/>
      <c r="U81" s="53"/>
      <c r="V81" s="53"/>
      <c r="W81" s="53"/>
      <c r="X81" s="53"/>
      <c r="Y81" s="53"/>
      <c r="Z81" s="53"/>
      <c r="AA81" s="53" t="s">
        <v>189</v>
      </c>
      <c r="AB81" s="53" t="s">
        <v>190</v>
      </c>
      <c r="AC81" s="53">
        <v>29092</v>
      </c>
      <c r="AD81" s="53">
        <v>13899</v>
      </c>
      <c r="AE81" s="53"/>
      <c r="AF81" s="53" t="s">
        <v>285</v>
      </c>
      <c r="AG81" s="53" t="s">
        <v>286</v>
      </c>
      <c r="AH81" s="53"/>
      <c r="AI81" s="53">
        <f>31995+329</f>
        <v>32324</v>
      </c>
    </row>
    <row r="82" spans="1:35" ht="114.75" x14ac:dyDescent="0.2">
      <c r="A82" s="46">
        <v>47</v>
      </c>
      <c r="B82" s="47" t="s">
        <v>287</v>
      </c>
      <c r="C82" s="48" t="str">
        <f t="shared" ca="1" si="2"/>
        <v xml:space="preserve">Устройство кровли из металлочерепицы по готовым прогонам: средней сложности
100 м2 кровли
54846 руб. НР 92%=120%*(0,85*0,9) от ФОТ (59615 руб.)
26231 руб.СП 44%=65%*(0,8*0,85) от ФОТ (59615 руб.)
</v>
      </c>
      <c r="D82" s="46">
        <v>8.5679999999999996</v>
      </c>
      <c r="E82" s="49" t="s">
        <v>288</v>
      </c>
      <c r="F82" s="49" t="s">
        <v>289</v>
      </c>
      <c r="G82" s="49">
        <v>9946</v>
      </c>
      <c r="H82" s="50" t="s">
        <v>290</v>
      </c>
      <c r="I82" s="51">
        <v>378219</v>
      </c>
      <c r="J82" s="49">
        <v>57740</v>
      </c>
      <c r="K82" s="49" t="s">
        <v>291</v>
      </c>
      <c r="L82" s="49" t="str">
        <f>IF(8.568*9946=0," ",TEXT(,ROUND((8.568*9946*3.6),2)))</f>
        <v>306782,38</v>
      </c>
      <c r="M82" s="49" t="s">
        <v>292</v>
      </c>
      <c r="N82" s="49" t="s">
        <v>293</v>
      </c>
      <c r="O82" s="52"/>
      <c r="P82" s="52"/>
      <c r="Q82" s="52"/>
      <c r="R82" s="52"/>
      <c r="S82" s="52"/>
      <c r="T82" s="53"/>
      <c r="U82" s="53"/>
      <c r="V82" s="53"/>
      <c r="W82" s="53"/>
      <c r="X82" s="53"/>
      <c r="Y82" s="53"/>
      <c r="Z82" s="53"/>
      <c r="AA82" s="53" t="s">
        <v>83</v>
      </c>
      <c r="AB82" s="53" t="s">
        <v>84</v>
      </c>
      <c r="AC82" s="53">
        <v>54846</v>
      </c>
      <c r="AD82" s="53">
        <v>26231</v>
      </c>
      <c r="AE82" s="53"/>
      <c r="AF82" s="53" t="s">
        <v>294</v>
      </c>
      <c r="AG82" s="53" t="s">
        <v>61</v>
      </c>
      <c r="AH82" s="53"/>
      <c r="AI82" s="53">
        <f>57740+1875</f>
        <v>59615</v>
      </c>
    </row>
    <row r="83" spans="1:35" ht="51" x14ac:dyDescent="0.2">
      <c r="A83" s="46">
        <v>48</v>
      </c>
      <c r="B83" s="47" t="s">
        <v>295</v>
      </c>
      <c r="C83" s="48" t="str">
        <f t="shared" ca="1" si="2"/>
        <v xml:space="preserve">Металлочерепица «Монтеррей»
м2
</v>
      </c>
      <c r="D83" s="46">
        <v>-1097</v>
      </c>
      <c r="E83" s="49">
        <v>70.5</v>
      </c>
      <c r="F83" s="49"/>
      <c r="G83" s="49">
        <v>70.5</v>
      </c>
      <c r="H83" s="50" t="s">
        <v>296</v>
      </c>
      <c r="I83" s="51">
        <v>-295280</v>
      </c>
      <c r="J83" s="49"/>
      <c r="K83" s="49"/>
      <c r="L83" s="49" t="str">
        <f>IF(-1097*70.5=0," ",TEXT(,ROUND((-1097*70.5*3.818),2)))</f>
        <v>-295278,39</v>
      </c>
      <c r="M83" s="49"/>
      <c r="N83" s="49"/>
      <c r="O83" s="52"/>
      <c r="P83" s="52"/>
      <c r="Q83" s="52"/>
      <c r="R83" s="52"/>
      <c r="S83" s="52"/>
      <c r="T83" s="53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E83" s="53"/>
      <c r="AF83" s="53" t="s">
        <v>297</v>
      </c>
      <c r="AG83" s="53" t="s">
        <v>145</v>
      </c>
      <c r="AH83" s="53"/>
      <c r="AI83" s="53">
        <f>0+0</f>
        <v>0</v>
      </c>
    </row>
    <row r="84" spans="1:35" ht="63.75" x14ac:dyDescent="0.2">
      <c r="A84" s="46">
        <v>49</v>
      </c>
      <c r="B84" s="47" t="s">
        <v>298</v>
      </c>
      <c r="C84" s="48" t="str">
        <f t="shared" ca="1" si="2"/>
        <v xml:space="preserve">Профилированный лист оцинкованный: НС44-1000-0,7
т
</v>
      </c>
      <c r="D84" s="46">
        <v>7.8226000000000004</v>
      </c>
      <c r="E84" s="49">
        <v>10090.379999999999</v>
      </c>
      <c r="F84" s="49"/>
      <c r="G84" s="49">
        <v>10090.379999999999</v>
      </c>
      <c r="H84" s="50" t="s">
        <v>299</v>
      </c>
      <c r="I84" s="51">
        <v>338307</v>
      </c>
      <c r="J84" s="49"/>
      <c r="K84" s="49"/>
      <c r="L84" s="49" t="str">
        <f>IF(7.8226*10090.38=0," ",TEXT(,ROUND((7.8226*10090.38*4.286),2)))</f>
        <v>338306,87</v>
      </c>
      <c r="M84" s="49"/>
      <c r="N84" s="49"/>
      <c r="O84" s="52"/>
      <c r="P84" s="52"/>
      <c r="Q84" s="52"/>
      <c r="R84" s="52"/>
      <c r="S84" s="52"/>
      <c r="T84" s="53"/>
      <c r="U84" s="53"/>
      <c r="V84" s="53"/>
      <c r="W84" s="53"/>
      <c r="X84" s="53"/>
      <c r="Y84" s="53"/>
      <c r="Z84" s="53"/>
      <c r="AA84" s="53"/>
      <c r="AB84" s="53"/>
      <c r="AC84" s="53"/>
      <c r="AD84" s="53"/>
      <c r="AE84" s="53"/>
      <c r="AF84" s="53" t="s">
        <v>300</v>
      </c>
      <c r="AG84" s="53" t="s">
        <v>301</v>
      </c>
      <c r="AH84" s="53"/>
      <c r="AI84" s="53">
        <f>0+0</f>
        <v>0</v>
      </c>
    </row>
    <row r="85" spans="1:35" ht="63.75" x14ac:dyDescent="0.2">
      <c r="A85" s="46">
        <v>50</v>
      </c>
      <c r="B85" s="47" t="s">
        <v>302</v>
      </c>
      <c r="C85" s="48" t="str">
        <f t="shared" ca="1" si="2"/>
        <v xml:space="preserve">Сталь листовая оцинкованная толщиной листа: 0,5 мм
м2
</v>
      </c>
      <c r="D85" s="46">
        <v>51.6</v>
      </c>
      <c r="E85" s="49">
        <v>45.82</v>
      </c>
      <c r="F85" s="49"/>
      <c r="G85" s="49">
        <v>45.82</v>
      </c>
      <c r="H85" s="50" t="s">
        <v>303</v>
      </c>
      <c r="I85" s="51">
        <v>12851</v>
      </c>
      <c r="J85" s="49"/>
      <c r="K85" s="49"/>
      <c r="L85" s="49" t="str">
        <f>IF(51.6*45.82=0," ",TEXT(,ROUND((51.6*45.82*5.436),2)))</f>
        <v>12852,4</v>
      </c>
      <c r="M85" s="49"/>
      <c r="N85" s="49"/>
      <c r="O85" s="52"/>
      <c r="P85" s="52"/>
      <c r="Q85" s="52"/>
      <c r="R85" s="52"/>
      <c r="S85" s="52"/>
      <c r="T85" s="53"/>
      <c r="U85" s="53"/>
      <c r="V85" s="53"/>
      <c r="W85" s="53"/>
      <c r="X85" s="53"/>
      <c r="Y85" s="53"/>
      <c r="Z85" s="53"/>
      <c r="AA85" s="53"/>
      <c r="AB85" s="53"/>
      <c r="AC85" s="53"/>
      <c r="AD85" s="53"/>
      <c r="AE85" s="53"/>
      <c r="AF85" s="53" t="s">
        <v>304</v>
      </c>
      <c r="AG85" s="53" t="s">
        <v>145</v>
      </c>
      <c r="AH85" s="53"/>
      <c r="AI85" s="53">
        <f>0+0</f>
        <v>0</v>
      </c>
    </row>
    <row r="86" spans="1:35" ht="76.5" x14ac:dyDescent="0.2">
      <c r="A86" s="46">
        <v>51</v>
      </c>
      <c r="B86" s="47" t="s">
        <v>305</v>
      </c>
      <c r="C86" s="48" t="str">
        <f t="shared" ca="1" si="2"/>
        <v xml:space="preserve">Дополнительные элементы металлочерепичной кровли: заглушка коньковая из оцинкованной стали
шт.
</v>
      </c>
      <c r="D86" s="46">
        <v>4</v>
      </c>
      <c r="E86" s="49">
        <v>33.19</v>
      </c>
      <c r="F86" s="49"/>
      <c r="G86" s="49">
        <v>33.19</v>
      </c>
      <c r="H86" s="50" t="s">
        <v>306</v>
      </c>
      <c r="I86" s="51">
        <v>658</v>
      </c>
      <c r="J86" s="49"/>
      <c r="K86" s="49"/>
      <c r="L86" s="49" t="str">
        <f>IF(4*33.19=0," ",TEXT(,ROUND((4*33.19*4.949),2)))</f>
        <v>657,03</v>
      </c>
      <c r="M86" s="49"/>
      <c r="N86" s="49"/>
      <c r="O86" s="52"/>
      <c r="P86" s="52"/>
      <c r="Q86" s="52"/>
      <c r="R86" s="52"/>
      <c r="S86" s="52"/>
      <c r="T86" s="53"/>
      <c r="U86" s="53"/>
      <c r="V86" s="53"/>
      <c r="W86" s="53"/>
      <c r="X86" s="53"/>
      <c r="Y86" s="53"/>
      <c r="Z86" s="53"/>
      <c r="AA86" s="53"/>
      <c r="AB86" s="53"/>
      <c r="AC86" s="53"/>
      <c r="AD86" s="53"/>
      <c r="AE86" s="53"/>
      <c r="AF86" s="53" t="s">
        <v>307</v>
      </c>
      <c r="AG86" s="53" t="s">
        <v>217</v>
      </c>
      <c r="AH86" s="53"/>
      <c r="AI86" s="53">
        <f>0+0</f>
        <v>0</v>
      </c>
    </row>
    <row r="87" spans="1:35" ht="102" x14ac:dyDescent="0.2">
      <c r="A87" s="46">
        <v>52</v>
      </c>
      <c r="B87" s="47" t="s">
        <v>308</v>
      </c>
      <c r="C87" s="48" t="str">
        <f t="shared" ca="1" si="2"/>
        <v xml:space="preserve">Резка стального профилированного настила
1 м реза
954 руб. НР 69%=90%*(0,85*0,9) от ФОТ (1382 руб.)
802 руб.СП 58%=85%*(0,8*0,85) от ФОТ (1382 руб.)
</v>
      </c>
      <c r="D87" s="46">
        <v>24</v>
      </c>
      <c r="E87" s="49" t="s">
        <v>309</v>
      </c>
      <c r="F87" s="49">
        <v>0.55000000000000004</v>
      </c>
      <c r="G87" s="49"/>
      <c r="H87" s="50" t="s">
        <v>310</v>
      </c>
      <c r="I87" s="51">
        <v>1418</v>
      </c>
      <c r="J87" s="49">
        <v>1382</v>
      </c>
      <c r="K87" s="49">
        <v>36</v>
      </c>
      <c r="L87" s="49" t="str">
        <f>IF(24*0=0," ",TEXT(,ROUND((24*0*1),2)))</f>
        <v xml:space="preserve"> </v>
      </c>
      <c r="M87" s="49">
        <v>0.34</v>
      </c>
      <c r="N87" s="49">
        <v>8.16</v>
      </c>
      <c r="O87" s="52"/>
      <c r="P87" s="52"/>
      <c r="Q87" s="52"/>
      <c r="R87" s="52"/>
      <c r="S87" s="52"/>
      <c r="T87" s="53"/>
      <c r="U87" s="53"/>
      <c r="V87" s="53"/>
      <c r="W87" s="53"/>
      <c r="X87" s="53"/>
      <c r="Y87" s="53"/>
      <c r="Z87" s="53"/>
      <c r="AA87" s="53" t="s">
        <v>211</v>
      </c>
      <c r="AB87" s="53" t="s">
        <v>212</v>
      </c>
      <c r="AC87" s="53">
        <v>954</v>
      </c>
      <c r="AD87" s="53">
        <v>802</v>
      </c>
      <c r="AE87" s="53"/>
      <c r="AF87" s="53" t="s">
        <v>311</v>
      </c>
      <c r="AG87" s="53" t="s">
        <v>312</v>
      </c>
      <c r="AH87" s="53"/>
      <c r="AI87" s="53">
        <f>1382+0</f>
        <v>1382</v>
      </c>
    </row>
    <row r="88" spans="1:35" ht="102" x14ac:dyDescent="0.2">
      <c r="A88" s="46">
        <v>53</v>
      </c>
      <c r="B88" s="47" t="s">
        <v>313</v>
      </c>
      <c r="C88" s="48" t="str">
        <f t="shared" ca="1" si="2"/>
        <v xml:space="preserve">Устройство желобов: настенных
100 м желобов
17949 руб. НР 92%=120%*(0,85*0,9) от ФОТ (19510 руб.)
8584 руб.СП 44%=65%*(0,8*0,85) от ФОТ (19510 руб.)
</v>
      </c>
      <c r="D88" s="46">
        <v>1.3680000000000001</v>
      </c>
      <c r="E88" s="49" t="s">
        <v>314</v>
      </c>
      <c r="F88" s="49" t="s">
        <v>315</v>
      </c>
      <c r="G88" s="49">
        <v>17933.62</v>
      </c>
      <c r="H88" s="50" t="s">
        <v>316</v>
      </c>
      <c r="I88" s="51">
        <v>124097</v>
      </c>
      <c r="J88" s="49">
        <v>18704</v>
      </c>
      <c r="K88" s="49" t="s">
        <v>317</v>
      </c>
      <c r="L88" s="49" t="str">
        <f>IF(1.368*17933.62=0," ",TEXT(,ROUND((1.368*17933.62*4.06),2)))</f>
        <v>99604,76</v>
      </c>
      <c r="M88" s="49" t="s">
        <v>318</v>
      </c>
      <c r="N88" s="49" t="s">
        <v>319</v>
      </c>
      <c r="O88" s="52"/>
      <c r="P88" s="52"/>
      <c r="Q88" s="52"/>
      <c r="R88" s="52"/>
      <c r="S88" s="52"/>
      <c r="T88" s="53"/>
      <c r="U88" s="53"/>
      <c r="V88" s="53"/>
      <c r="W88" s="53"/>
      <c r="X88" s="53"/>
      <c r="Y88" s="53"/>
      <c r="Z88" s="53"/>
      <c r="AA88" s="53" t="s">
        <v>83</v>
      </c>
      <c r="AB88" s="53" t="s">
        <v>84</v>
      </c>
      <c r="AC88" s="53">
        <v>17949</v>
      </c>
      <c r="AD88" s="53">
        <v>8584</v>
      </c>
      <c r="AE88" s="53"/>
      <c r="AF88" s="53" t="s">
        <v>320</v>
      </c>
      <c r="AG88" s="53" t="s">
        <v>321</v>
      </c>
      <c r="AH88" s="53"/>
      <c r="AI88" s="53">
        <f>18704+806</f>
        <v>19510</v>
      </c>
    </row>
    <row r="89" spans="1:35" ht="76.5" x14ac:dyDescent="0.2">
      <c r="A89" s="46">
        <v>54</v>
      </c>
      <c r="B89" s="47" t="s">
        <v>322</v>
      </c>
      <c r="C89" s="48" t="str">
        <f t="shared" ca="1" si="2"/>
        <v xml:space="preserve">Доски обрезные хвойных пород длиной: 2-3,75 м, шириной 75-150 мм, толщиной 44 мм и более, III сорта
м3
</v>
      </c>
      <c r="D89" s="46">
        <v>-6.0880000000000001</v>
      </c>
      <c r="E89" s="49">
        <v>968</v>
      </c>
      <c r="F89" s="49"/>
      <c r="G89" s="49">
        <v>968</v>
      </c>
      <c r="H89" s="50" t="s">
        <v>323</v>
      </c>
      <c r="I89" s="51">
        <v>-32871</v>
      </c>
      <c r="J89" s="49"/>
      <c r="K89" s="49"/>
      <c r="L89" s="49" t="str">
        <f>IF(-6.088*968=0," ",TEXT(,ROUND((-6.088*968*5.578),2)))</f>
        <v>-32872,18</v>
      </c>
      <c r="M89" s="49"/>
      <c r="N89" s="49"/>
      <c r="O89" s="52"/>
      <c r="P89" s="52"/>
      <c r="Q89" s="52"/>
      <c r="R89" s="52"/>
      <c r="S89" s="52"/>
      <c r="T89" s="53"/>
      <c r="U89" s="53"/>
      <c r="V89" s="53"/>
      <c r="W89" s="53"/>
      <c r="X89" s="53"/>
      <c r="Y89" s="53"/>
      <c r="Z89" s="53"/>
      <c r="AA89" s="53"/>
      <c r="AB89" s="53"/>
      <c r="AC89" s="53"/>
      <c r="AD89" s="53"/>
      <c r="AE89" s="53"/>
      <c r="AF89" s="53" t="s">
        <v>324</v>
      </c>
      <c r="AG89" s="53" t="s">
        <v>179</v>
      </c>
      <c r="AH89" s="53"/>
      <c r="AI89" s="53">
        <f>0+0</f>
        <v>0</v>
      </c>
    </row>
    <row r="90" spans="1:35" ht="76.5" x14ac:dyDescent="0.2">
      <c r="A90" s="46">
        <v>55</v>
      </c>
      <c r="B90" s="47" t="s">
        <v>196</v>
      </c>
      <c r="C90" s="48" t="str">
        <f t="shared" ca="1" si="2"/>
        <v xml:space="preserve">Доски обрезные хвойных пород длиной: 4-6,5 м, шириной 75-150 мм, толщиной 44 мм и более, II сорта
м3
</v>
      </c>
      <c r="D90" s="46">
        <v>6.0880000000000001</v>
      </c>
      <c r="E90" s="49">
        <v>1320</v>
      </c>
      <c r="F90" s="49"/>
      <c r="G90" s="49">
        <v>1320</v>
      </c>
      <c r="H90" s="50" t="s">
        <v>197</v>
      </c>
      <c r="I90" s="51">
        <v>33398</v>
      </c>
      <c r="J90" s="49"/>
      <c r="K90" s="49"/>
      <c r="L90" s="49" t="str">
        <f>IF(6.088*1320=0," ",TEXT(,ROUND((6.088*1320*4.156),2)))</f>
        <v>33398,28</v>
      </c>
      <c r="M90" s="49"/>
      <c r="N90" s="49"/>
      <c r="O90" s="52"/>
      <c r="P90" s="52"/>
      <c r="Q90" s="52"/>
      <c r="R90" s="52"/>
      <c r="S90" s="52"/>
      <c r="T90" s="53"/>
      <c r="U90" s="53"/>
      <c r="V90" s="53"/>
      <c r="W90" s="53"/>
      <c r="X90" s="53"/>
      <c r="Y90" s="53"/>
      <c r="Z90" s="53"/>
      <c r="AA90" s="53"/>
      <c r="AB90" s="53"/>
      <c r="AC90" s="53"/>
      <c r="AD90" s="53"/>
      <c r="AE90" s="53"/>
      <c r="AF90" s="53" t="s">
        <v>198</v>
      </c>
      <c r="AG90" s="53" t="s">
        <v>179</v>
      </c>
      <c r="AH90" s="53"/>
      <c r="AI90" s="53">
        <f>0+0</f>
        <v>0</v>
      </c>
    </row>
    <row r="91" spans="1:35" ht="63.75" x14ac:dyDescent="0.2">
      <c r="A91" s="46">
        <v>56</v>
      </c>
      <c r="B91" s="47" t="s">
        <v>325</v>
      </c>
      <c r="C91" s="48" t="str">
        <f t="shared" ca="1" si="2"/>
        <v xml:space="preserve">Сталь листовая оцинкованная толщиной листа: 0,7 мм
т
</v>
      </c>
      <c r="D91" s="46">
        <v>-1.518</v>
      </c>
      <c r="E91" s="49">
        <v>11200</v>
      </c>
      <c r="F91" s="49"/>
      <c r="G91" s="49">
        <v>11200</v>
      </c>
      <c r="H91" s="50" t="s">
        <v>326</v>
      </c>
      <c r="I91" s="51">
        <v>-62278</v>
      </c>
      <c r="J91" s="49"/>
      <c r="K91" s="49"/>
      <c r="L91" s="49" t="str">
        <f>IF(-1.518*11200=0," ",TEXT(,ROUND((-1.518*11200*3.663),2)))</f>
        <v>-62276,86</v>
      </c>
      <c r="M91" s="49"/>
      <c r="N91" s="49"/>
      <c r="O91" s="52"/>
      <c r="P91" s="52"/>
      <c r="Q91" s="52"/>
      <c r="R91" s="52"/>
      <c r="S91" s="52"/>
      <c r="T91" s="53"/>
      <c r="U91" s="53"/>
      <c r="V91" s="53"/>
      <c r="W91" s="53"/>
      <c r="X91" s="53"/>
      <c r="Y91" s="53"/>
      <c r="Z91" s="53"/>
      <c r="AA91" s="53"/>
      <c r="AB91" s="53"/>
      <c r="AC91" s="53"/>
      <c r="AD91" s="53"/>
      <c r="AE91" s="53"/>
      <c r="AF91" s="53" t="s">
        <v>327</v>
      </c>
      <c r="AG91" s="53" t="s">
        <v>301</v>
      </c>
      <c r="AH91" s="53"/>
      <c r="AI91" s="53">
        <f>0+0</f>
        <v>0</v>
      </c>
    </row>
    <row r="92" spans="1:35" ht="63.75" x14ac:dyDescent="0.2">
      <c r="A92" s="46">
        <v>57</v>
      </c>
      <c r="B92" s="47" t="s">
        <v>328</v>
      </c>
      <c r="C92" s="48" t="str">
        <f t="shared" ca="1" si="2"/>
        <v xml:space="preserve">Сталь листовая оцинкованная толщиной листа: 0,55 мм
т
</v>
      </c>
      <c r="D92" s="46">
        <v>1.1930000000000001</v>
      </c>
      <c r="E92" s="49">
        <v>10484</v>
      </c>
      <c r="F92" s="49"/>
      <c r="G92" s="49">
        <v>10484</v>
      </c>
      <c r="H92" s="50" t="s">
        <v>329</v>
      </c>
      <c r="I92" s="51">
        <v>49015</v>
      </c>
      <c r="J92" s="49"/>
      <c r="K92" s="49"/>
      <c r="L92" s="49" t="str">
        <f>IF(1.193*10484=0," ",TEXT(,ROUND((1.193*10484*3.919),2)))</f>
        <v>49016,55</v>
      </c>
      <c r="M92" s="49"/>
      <c r="N92" s="49"/>
      <c r="O92" s="52"/>
      <c r="P92" s="52"/>
      <c r="Q92" s="52"/>
      <c r="R92" s="52"/>
      <c r="S92" s="52"/>
      <c r="T92" s="53"/>
      <c r="U92" s="53"/>
      <c r="V92" s="53"/>
      <c r="W92" s="53"/>
      <c r="X92" s="53"/>
      <c r="Y92" s="53"/>
      <c r="Z92" s="53"/>
      <c r="AA92" s="53"/>
      <c r="AB92" s="53"/>
      <c r="AC92" s="53"/>
      <c r="AD92" s="53"/>
      <c r="AE92" s="53"/>
      <c r="AF92" s="53" t="s">
        <v>330</v>
      </c>
      <c r="AG92" s="53" t="s">
        <v>301</v>
      </c>
      <c r="AH92" s="53"/>
      <c r="AI92" s="53">
        <f>0+0</f>
        <v>0</v>
      </c>
    </row>
    <row r="93" spans="1:35" ht="127.5" x14ac:dyDescent="0.2">
      <c r="A93" s="46">
        <v>58</v>
      </c>
      <c r="B93" s="47" t="s">
        <v>331</v>
      </c>
      <c r="C93" s="48" t="str">
        <f t="shared" ca="1" si="2"/>
        <v xml:space="preserve">Устройство мелких покрытий (брандмауэры, парапеты, свесы и т.п.) из листовой оцинкованной стали
100 м2 покрытия
52152 руб. НР 92%=120%*(0,85*0,9) от ФОТ (56687 руб.)
24942 руб.СП 44%=65%*(0,8*0,85) от ФОТ (56687 руб.)
</v>
      </c>
      <c r="D93" s="46">
        <v>3.1069</v>
      </c>
      <c r="E93" s="49" t="s">
        <v>332</v>
      </c>
      <c r="F93" s="49" t="s">
        <v>333</v>
      </c>
      <c r="G93" s="49">
        <v>8890.58</v>
      </c>
      <c r="H93" s="50" t="s">
        <v>334</v>
      </c>
      <c r="I93" s="51">
        <v>158699</v>
      </c>
      <c r="J93" s="49">
        <v>56522</v>
      </c>
      <c r="K93" s="49" t="s">
        <v>335</v>
      </c>
      <c r="L93" s="49" t="str">
        <f>IF(3.1069*8890.58=0," ",TEXT(,ROUND((3.1069*8890.58*3.66),2)))</f>
        <v>101097,04</v>
      </c>
      <c r="M93" s="49" t="s">
        <v>336</v>
      </c>
      <c r="N93" s="49" t="s">
        <v>337</v>
      </c>
      <c r="O93" s="52"/>
      <c r="P93" s="52"/>
      <c r="Q93" s="52"/>
      <c r="R93" s="52"/>
      <c r="S93" s="52"/>
      <c r="T93" s="53"/>
      <c r="U93" s="53"/>
      <c r="V93" s="53"/>
      <c r="W93" s="53"/>
      <c r="X93" s="53"/>
      <c r="Y93" s="53"/>
      <c r="Z93" s="53"/>
      <c r="AA93" s="53" t="s">
        <v>83</v>
      </c>
      <c r="AB93" s="53" t="s">
        <v>84</v>
      </c>
      <c r="AC93" s="53">
        <v>52152</v>
      </c>
      <c r="AD93" s="53">
        <v>24942</v>
      </c>
      <c r="AE93" s="53"/>
      <c r="AF93" s="53" t="s">
        <v>338</v>
      </c>
      <c r="AG93" s="53" t="s">
        <v>36</v>
      </c>
      <c r="AH93" s="53"/>
      <c r="AI93" s="53">
        <f>56522+165</f>
        <v>56687</v>
      </c>
    </row>
    <row r="94" spans="1:35" ht="63.75" x14ac:dyDescent="0.2">
      <c r="A94" s="46">
        <v>59</v>
      </c>
      <c r="B94" s="47" t="s">
        <v>325</v>
      </c>
      <c r="C94" s="48" t="str">
        <f t="shared" ca="1" si="2"/>
        <v xml:space="preserve">Сталь листовая оцинкованная толщиной листа: 0,7 мм
т
</v>
      </c>
      <c r="D94" s="46">
        <v>-2.4300000000000002</v>
      </c>
      <c r="E94" s="49">
        <v>11200</v>
      </c>
      <c r="F94" s="49"/>
      <c r="G94" s="49">
        <v>11200</v>
      </c>
      <c r="H94" s="50" t="s">
        <v>326</v>
      </c>
      <c r="I94" s="51">
        <v>-99692</v>
      </c>
      <c r="J94" s="49"/>
      <c r="K94" s="49"/>
      <c r="L94" s="49" t="str">
        <f>IF(-2.43*11200=0," ",TEXT(,ROUND((-2.43*11200*3.663),2)))</f>
        <v>-99692,21</v>
      </c>
      <c r="M94" s="49"/>
      <c r="N94" s="49"/>
      <c r="O94" s="52"/>
      <c r="P94" s="52"/>
      <c r="Q94" s="52"/>
      <c r="R94" s="52"/>
      <c r="S94" s="52"/>
      <c r="T94" s="53"/>
      <c r="U94" s="53"/>
      <c r="V94" s="53"/>
      <c r="W94" s="53"/>
      <c r="X94" s="53"/>
      <c r="Y94" s="53"/>
      <c r="Z94" s="53"/>
      <c r="AA94" s="53"/>
      <c r="AB94" s="53"/>
      <c r="AC94" s="53"/>
      <c r="AD94" s="53"/>
      <c r="AE94" s="53"/>
      <c r="AF94" s="53" t="s">
        <v>327</v>
      </c>
      <c r="AG94" s="53" t="s">
        <v>301</v>
      </c>
      <c r="AH94" s="53"/>
      <c r="AI94" s="53">
        <f>0+0</f>
        <v>0</v>
      </c>
    </row>
    <row r="95" spans="1:35" ht="63.75" x14ac:dyDescent="0.2">
      <c r="A95" s="46">
        <v>60</v>
      </c>
      <c r="B95" s="47" t="s">
        <v>328</v>
      </c>
      <c r="C95" s="48" t="str">
        <f t="shared" ca="1" si="2"/>
        <v xml:space="preserve">Сталь листовая оцинкованная толщиной листа: 0,55 мм
т
</v>
      </c>
      <c r="D95" s="46">
        <v>1.9093</v>
      </c>
      <c r="E95" s="49">
        <v>10484</v>
      </c>
      <c r="F95" s="49"/>
      <c r="G95" s="49">
        <v>10484</v>
      </c>
      <c r="H95" s="50" t="s">
        <v>329</v>
      </c>
      <c r="I95" s="51">
        <v>78447</v>
      </c>
      <c r="J95" s="49"/>
      <c r="K95" s="49"/>
      <c r="L95" s="49" t="str">
        <f>IF(1.9093*10484=0," ",TEXT(,ROUND((1.9093*10484*3.919),2)))</f>
        <v>78447,02</v>
      </c>
      <c r="M95" s="49"/>
      <c r="N95" s="49"/>
      <c r="O95" s="52"/>
      <c r="P95" s="52"/>
      <c r="Q95" s="52"/>
      <c r="R95" s="52"/>
      <c r="S95" s="52"/>
      <c r="T95" s="53"/>
      <c r="U95" s="53"/>
      <c r="V95" s="53"/>
      <c r="W95" s="53"/>
      <c r="X95" s="53"/>
      <c r="Y95" s="53"/>
      <c r="Z95" s="53"/>
      <c r="AA95" s="53"/>
      <c r="AB95" s="53"/>
      <c r="AC95" s="53"/>
      <c r="AD95" s="53"/>
      <c r="AE95" s="53"/>
      <c r="AF95" s="53" t="s">
        <v>330</v>
      </c>
      <c r="AG95" s="53" t="s">
        <v>301</v>
      </c>
      <c r="AH95" s="53"/>
      <c r="AI95" s="53">
        <f>0+0</f>
        <v>0</v>
      </c>
    </row>
    <row r="96" spans="1:35" ht="102" x14ac:dyDescent="0.2">
      <c r="A96" s="46">
        <v>61</v>
      </c>
      <c r="B96" s="47" t="s">
        <v>339</v>
      </c>
      <c r="C96" s="48" t="str">
        <f t="shared" ca="1" si="2"/>
        <v xml:space="preserve">Ограждение кровель перилами
100 м ограждения
1499 руб. НР 92%=120%*(0,85*0,9) от ФОТ (1629 руб.)
717 руб.СП 44%=65%*(0,8*0,85) от ФОТ (1629 руб.)
</v>
      </c>
      <c r="D96" s="46">
        <v>1.3680000000000001</v>
      </c>
      <c r="E96" s="49" t="s">
        <v>340</v>
      </c>
      <c r="F96" s="49" t="s">
        <v>341</v>
      </c>
      <c r="G96" s="49">
        <v>3032.91</v>
      </c>
      <c r="H96" s="50" t="s">
        <v>79</v>
      </c>
      <c r="I96" s="51">
        <v>34295</v>
      </c>
      <c r="J96" s="49">
        <v>1530</v>
      </c>
      <c r="K96" s="49" t="s">
        <v>342</v>
      </c>
      <c r="L96" s="49" t="str">
        <f>IF(1.368*3032.91=0," ",TEXT(,ROUND((1.368*3032.91*7.67),2)))</f>
        <v>31822,99</v>
      </c>
      <c r="M96" s="49" t="s">
        <v>343</v>
      </c>
      <c r="N96" s="49" t="s">
        <v>344</v>
      </c>
      <c r="O96" s="52"/>
      <c r="P96" s="52"/>
      <c r="Q96" s="52"/>
      <c r="R96" s="52"/>
      <c r="S96" s="52"/>
      <c r="T96" s="53"/>
      <c r="U96" s="53"/>
      <c r="V96" s="53"/>
      <c r="W96" s="53"/>
      <c r="X96" s="53"/>
      <c r="Y96" s="53"/>
      <c r="Z96" s="53"/>
      <c r="AA96" s="53" t="s">
        <v>83</v>
      </c>
      <c r="AB96" s="53" t="s">
        <v>84</v>
      </c>
      <c r="AC96" s="53">
        <v>1499</v>
      </c>
      <c r="AD96" s="53">
        <v>717</v>
      </c>
      <c r="AE96" s="53"/>
      <c r="AF96" s="53" t="s">
        <v>345</v>
      </c>
      <c r="AG96" s="53" t="s">
        <v>87</v>
      </c>
      <c r="AH96" s="53"/>
      <c r="AI96" s="53">
        <f>1530+99</f>
        <v>1629</v>
      </c>
    </row>
    <row r="97" spans="1:35" ht="102" x14ac:dyDescent="0.2">
      <c r="A97" s="46">
        <v>62</v>
      </c>
      <c r="B97" s="47" t="s">
        <v>346</v>
      </c>
      <c r="C97" s="48" t="str">
        <f t="shared" ca="1" si="2"/>
        <v xml:space="preserve">Конструктивные элементы вспомогательного назначения: с преобладанием профильного проката собираемые из двух и более деталей, с отверстиями и без отверстий, соединяемые на сварке добор до проектного объема
т
</v>
      </c>
      <c r="D97" s="46">
        <v>0.76580000000000004</v>
      </c>
      <c r="E97" s="49">
        <v>10045</v>
      </c>
      <c r="F97" s="49"/>
      <c r="G97" s="49">
        <v>10045</v>
      </c>
      <c r="H97" s="50" t="s">
        <v>347</v>
      </c>
      <c r="I97" s="51">
        <v>59159</v>
      </c>
      <c r="J97" s="49"/>
      <c r="K97" s="49"/>
      <c r="L97" s="49" t="str">
        <f>IF(0.7658*10045=0," ",TEXT(,ROUND((0.7658*10045*7.691),2)))</f>
        <v>59162,72</v>
      </c>
      <c r="M97" s="49"/>
      <c r="N97" s="49"/>
      <c r="O97" s="52"/>
      <c r="P97" s="52"/>
      <c r="Q97" s="52"/>
      <c r="R97" s="52"/>
      <c r="S97" s="52"/>
      <c r="T97" s="53"/>
      <c r="U97" s="53"/>
      <c r="V97" s="53"/>
      <c r="W97" s="53"/>
      <c r="X97" s="53"/>
      <c r="Y97" s="53"/>
      <c r="Z97" s="53"/>
      <c r="AA97" s="53"/>
      <c r="AB97" s="53"/>
      <c r="AC97" s="53"/>
      <c r="AD97" s="53"/>
      <c r="AE97" s="53"/>
      <c r="AF97" s="53" t="s">
        <v>348</v>
      </c>
      <c r="AG97" s="53" t="s">
        <v>301</v>
      </c>
      <c r="AH97" s="53"/>
      <c r="AI97" s="53">
        <f>0+0</f>
        <v>0</v>
      </c>
    </row>
    <row r="98" spans="1:35" ht="102" x14ac:dyDescent="0.2">
      <c r="A98" s="46">
        <v>63</v>
      </c>
      <c r="B98" s="47" t="s">
        <v>339</v>
      </c>
      <c r="C98" s="48" t="str">
        <f t="shared" ca="1" si="2"/>
        <v xml:space="preserve">Снегозадержатели
100 м ограждения
1483 руб. НР 92%=120%*(0,85*0,9) от ФОТ (1612 руб.)
709 руб.СП 44%=65%*(0,8*0,85) от ФОТ (1612 руб.)
</v>
      </c>
      <c r="D98" s="46">
        <v>1.35</v>
      </c>
      <c r="E98" s="49" t="s">
        <v>340</v>
      </c>
      <c r="F98" s="49" t="s">
        <v>341</v>
      </c>
      <c r="G98" s="49">
        <v>3032.91</v>
      </c>
      <c r="H98" s="50" t="s">
        <v>79</v>
      </c>
      <c r="I98" s="51">
        <v>33846</v>
      </c>
      <c r="J98" s="49">
        <v>1513</v>
      </c>
      <c r="K98" s="49" t="s">
        <v>349</v>
      </c>
      <c r="L98" s="49" t="str">
        <f>IF(1.35*3032.91=0," ",TEXT(,ROUND((1.35*3032.91*7.67),2)))</f>
        <v>31404,27</v>
      </c>
      <c r="M98" s="49" t="s">
        <v>343</v>
      </c>
      <c r="N98" s="49" t="s">
        <v>350</v>
      </c>
      <c r="O98" s="52"/>
      <c r="P98" s="52"/>
      <c r="Q98" s="52"/>
      <c r="R98" s="52"/>
      <c r="S98" s="52"/>
      <c r="T98" s="53"/>
      <c r="U98" s="53"/>
      <c r="V98" s="53"/>
      <c r="W98" s="53"/>
      <c r="X98" s="53"/>
      <c r="Y98" s="53"/>
      <c r="Z98" s="53"/>
      <c r="AA98" s="53" t="s">
        <v>83</v>
      </c>
      <c r="AB98" s="53" t="s">
        <v>84</v>
      </c>
      <c r="AC98" s="53">
        <v>1483</v>
      </c>
      <c r="AD98" s="53">
        <v>709</v>
      </c>
      <c r="AE98" s="53"/>
      <c r="AF98" s="53" t="s">
        <v>351</v>
      </c>
      <c r="AG98" s="53" t="s">
        <v>87</v>
      </c>
      <c r="AH98" s="53"/>
      <c r="AI98" s="53">
        <f>1513+99</f>
        <v>1612</v>
      </c>
    </row>
    <row r="99" spans="1:35" ht="102" x14ac:dyDescent="0.2">
      <c r="A99" s="46">
        <v>64</v>
      </c>
      <c r="B99" s="47" t="s">
        <v>346</v>
      </c>
      <c r="C99" s="48" t="str">
        <f t="shared" ca="1" si="2"/>
        <v xml:space="preserve">Конструктивные элементы вспомогательного назначения: с преобладанием профильного проката собираемые из двух и более деталей, с отверстиями и без отверстий, соединяемые на сварке
т
</v>
      </c>
      <c r="D99" s="46">
        <v>-0.40500000000000003</v>
      </c>
      <c r="E99" s="49">
        <v>10045</v>
      </c>
      <c r="F99" s="49"/>
      <c r="G99" s="49">
        <v>10045</v>
      </c>
      <c r="H99" s="50" t="s">
        <v>347</v>
      </c>
      <c r="I99" s="51">
        <v>-31287</v>
      </c>
      <c r="J99" s="49"/>
      <c r="K99" s="49"/>
      <c r="L99" s="49" t="str">
        <f>IF(-0.405*10045=0," ",TEXT(,ROUND((-0.405*10045*7.691),2)))</f>
        <v>-31288,72</v>
      </c>
      <c r="M99" s="49"/>
      <c r="N99" s="49"/>
      <c r="O99" s="52"/>
      <c r="P99" s="52"/>
      <c r="Q99" s="52"/>
      <c r="R99" s="52"/>
      <c r="S99" s="52"/>
      <c r="T99" s="53"/>
      <c r="U99" s="53"/>
      <c r="V99" s="53"/>
      <c r="W99" s="53"/>
      <c r="X99" s="53"/>
      <c r="Y99" s="53"/>
      <c r="Z99" s="53"/>
      <c r="AA99" s="53"/>
      <c r="AB99" s="53"/>
      <c r="AC99" s="53"/>
      <c r="AD99" s="53"/>
      <c r="AE99" s="53"/>
      <c r="AF99" s="53" t="s">
        <v>352</v>
      </c>
      <c r="AG99" s="53" t="s">
        <v>301</v>
      </c>
      <c r="AH99" s="53"/>
      <c r="AI99" s="53">
        <f>0+0</f>
        <v>0</v>
      </c>
    </row>
    <row r="100" spans="1:35" ht="63.75" x14ac:dyDescent="0.2">
      <c r="A100" s="46">
        <v>65</v>
      </c>
      <c r="B100" s="47" t="s">
        <v>353</v>
      </c>
      <c r="C100" s="48" t="str">
        <f t="shared" ref="C100:C117" ca="1" si="3">INDIRECT("AF"&amp;ROW())&amp;CHAR(10)&amp;INDIRECT("AG"&amp;ROW())&amp;IF(INDIRECT("AE"&amp;ROW())="", "", CHAR(10)&amp;INDIRECT("AE"&amp;ROW()))&amp;IF(INDIRECT("AC"&amp;ROW())="", "", CHAR(10)&amp;INDIRECT("AC"&amp;ROW())&amp;" руб. "&amp;INDIRECT("AA"&amp;ROW())&amp;" ("&amp;INDIRECT("AI"&amp;ROW())&amp;" руб.)")&amp;IF(INDIRECT("AD"&amp;ROW())="", "", CHAR(10)&amp;INDIRECT("AD"&amp;ROW())&amp;" руб."&amp;INDIRECT("AB"&amp;ROW())&amp;" ("&amp;INDIRECT("AI"&amp;ROW())&amp;" руб.)")&amp;CHAR(10)&amp;CHAR(10)</f>
        <v xml:space="preserve">Снегозадержатель длиной 3000 мм 1800/1,18/3/5,58=91,12
м
</v>
      </c>
      <c r="D100" s="46">
        <v>135</v>
      </c>
      <c r="E100" s="49">
        <v>91.12</v>
      </c>
      <c r="F100" s="49"/>
      <c r="G100" s="49">
        <v>91.12</v>
      </c>
      <c r="H100" s="50" t="s">
        <v>147</v>
      </c>
      <c r="I100" s="51">
        <v>68640</v>
      </c>
      <c r="J100" s="49"/>
      <c r="K100" s="49"/>
      <c r="L100" s="49" t="str">
        <f>IF(135*91.12=0," ",TEXT(,ROUND((135*91.12*5.58),2)))</f>
        <v>68640,7</v>
      </c>
      <c r="M100" s="49"/>
      <c r="N100" s="49"/>
      <c r="O100" s="52"/>
      <c r="P100" s="52"/>
      <c r="Q100" s="52"/>
      <c r="R100" s="52"/>
      <c r="S100" s="52"/>
      <c r="T100" s="53"/>
      <c r="U100" s="53"/>
      <c r="V100" s="53"/>
      <c r="W100" s="53"/>
      <c r="X100" s="53"/>
      <c r="Y100" s="53"/>
      <c r="Z100" s="53"/>
      <c r="AA100" s="53"/>
      <c r="AB100" s="53"/>
      <c r="AC100" s="53"/>
      <c r="AD100" s="53"/>
      <c r="AE100" s="53"/>
      <c r="AF100" s="53" t="s">
        <v>354</v>
      </c>
      <c r="AG100" s="53" t="s">
        <v>355</v>
      </c>
      <c r="AH100" s="53"/>
      <c r="AI100" s="53">
        <f>0+0</f>
        <v>0</v>
      </c>
    </row>
    <row r="101" spans="1:35" ht="89.25" x14ac:dyDescent="0.2">
      <c r="A101" s="46">
        <v>66</v>
      </c>
      <c r="B101" s="47" t="s">
        <v>339</v>
      </c>
      <c r="C101" s="48" t="str">
        <f t="shared" ca="1" si="3"/>
        <v xml:space="preserve">Страховочный трос
100 м ограждения
545 руб. НР 92%=120%*(0,85*0,9) от ФОТ (592 руб.)
260 руб.СП 44%=65%*(0,8*0,85) от ФОТ (592 руб.)
</v>
      </c>
      <c r="D101" s="46">
        <v>0.49</v>
      </c>
      <c r="E101" s="49" t="s">
        <v>340</v>
      </c>
      <c r="F101" s="49" t="s">
        <v>341</v>
      </c>
      <c r="G101" s="49">
        <v>3032.91</v>
      </c>
      <c r="H101" s="50" t="s">
        <v>79</v>
      </c>
      <c r="I101" s="51">
        <v>12278</v>
      </c>
      <c r="J101" s="49">
        <v>543</v>
      </c>
      <c r="K101" s="49" t="s">
        <v>356</v>
      </c>
      <c r="L101" s="49" t="str">
        <f>IF(0.49*3032.91=0," ",TEXT(,ROUND((0.49*3032.91*7.67),2)))</f>
        <v>11398,59</v>
      </c>
      <c r="M101" s="49" t="s">
        <v>343</v>
      </c>
      <c r="N101" s="49" t="s">
        <v>357</v>
      </c>
      <c r="O101" s="52"/>
      <c r="P101" s="52"/>
      <c r="Q101" s="52"/>
      <c r="R101" s="52"/>
      <c r="S101" s="52"/>
      <c r="T101" s="53"/>
      <c r="U101" s="53"/>
      <c r="V101" s="53"/>
      <c r="W101" s="53"/>
      <c r="X101" s="53"/>
      <c r="Y101" s="53"/>
      <c r="Z101" s="53"/>
      <c r="AA101" s="53" t="s">
        <v>83</v>
      </c>
      <c r="AB101" s="53" t="s">
        <v>84</v>
      </c>
      <c r="AC101" s="53">
        <v>545</v>
      </c>
      <c r="AD101" s="53">
        <v>260</v>
      </c>
      <c r="AE101" s="53"/>
      <c r="AF101" s="53" t="s">
        <v>358</v>
      </c>
      <c r="AG101" s="53" t="s">
        <v>87</v>
      </c>
      <c r="AH101" s="53"/>
      <c r="AI101" s="53">
        <f>543+49</f>
        <v>592</v>
      </c>
    </row>
    <row r="102" spans="1:35" ht="102" x14ac:dyDescent="0.2">
      <c r="A102" s="46">
        <v>67</v>
      </c>
      <c r="B102" s="47" t="s">
        <v>346</v>
      </c>
      <c r="C102" s="48" t="str">
        <f t="shared" ca="1" si="3"/>
        <v xml:space="preserve">Конструктивные элементы вспомогательного назначения с преобладанием профильного проката собираемые из двух и более деталей, с отверстиями и без отверстий, соединяемые на сварке
т
</v>
      </c>
      <c r="D102" s="46">
        <v>-0.14699999999999999</v>
      </c>
      <c r="E102" s="49">
        <v>10045</v>
      </c>
      <c r="F102" s="49"/>
      <c r="G102" s="49">
        <v>10045</v>
      </c>
      <c r="H102" s="50" t="s">
        <v>347</v>
      </c>
      <c r="I102" s="51">
        <v>-11360</v>
      </c>
      <c r="J102" s="49"/>
      <c r="K102" s="49"/>
      <c r="L102" s="49" t="str">
        <f>IF(-0.147*10045=0," ",TEXT(,ROUND((-0.147*10045*7.691),2)))</f>
        <v>-11356,65</v>
      </c>
      <c r="M102" s="49"/>
      <c r="N102" s="49"/>
      <c r="O102" s="52"/>
      <c r="P102" s="52"/>
      <c r="Q102" s="52"/>
      <c r="R102" s="52"/>
      <c r="S102" s="52"/>
      <c r="T102" s="53"/>
      <c r="U102" s="53"/>
      <c r="V102" s="53"/>
      <c r="W102" s="53"/>
      <c r="X102" s="53"/>
      <c r="Y102" s="53"/>
      <c r="Z102" s="53"/>
      <c r="AA102" s="53"/>
      <c r="AB102" s="53"/>
      <c r="AC102" s="53"/>
      <c r="AD102" s="53"/>
      <c r="AE102" s="53"/>
      <c r="AF102" s="53" t="s">
        <v>359</v>
      </c>
      <c r="AG102" s="53" t="s">
        <v>301</v>
      </c>
      <c r="AH102" s="53"/>
      <c r="AI102" s="53">
        <f>0+0</f>
        <v>0</v>
      </c>
    </row>
    <row r="103" spans="1:35" ht="51" x14ac:dyDescent="0.2">
      <c r="A103" s="46">
        <v>68</v>
      </c>
      <c r="B103" s="47" t="s">
        <v>360</v>
      </c>
      <c r="C103" s="48" t="str">
        <f t="shared" ca="1" si="3"/>
        <v xml:space="preserve">Трос стальной
м
</v>
      </c>
      <c r="D103" s="46">
        <v>49</v>
      </c>
      <c r="E103" s="49">
        <v>12.03</v>
      </c>
      <c r="F103" s="49"/>
      <c r="G103" s="49">
        <v>12.03</v>
      </c>
      <c r="H103" s="50" t="s">
        <v>361</v>
      </c>
      <c r="I103" s="51">
        <v>4075</v>
      </c>
      <c r="J103" s="49"/>
      <c r="K103" s="49"/>
      <c r="L103" s="49" t="str">
        <f>IF(49*12.03=0," ",TEXT(,ROUND((49*12.03*6.918),2)))</f>
        <v>4077,95</v>
      </c>
      <c r="M103" s="49"/>
      <c r="N103" s="49"/>
      <c r="O103" s="52"/>
      <c r="P103" s="52"/>
      <c r="Q103" s="52"/>
      <c r="R103" s="52"/>
      <c r="S103" s="52"/>
      <c r="T103" s="53"/>
      <c r="U103" s="53"/>
      <c r="V103" s="53"/>
      <c r="W103" s="53"/>
      <c r="X103" s="53"/>
      <c r="Y103" s="53"/>
      <c r="Z103" s="53"/>
      <c r="AA103" s="53"/>
      <c r="AB103" s="53"/>
      <c r="AC103" s="53"/>
      <c r="AD103" s="53"/>
      <c r="AE103" s="53"/>
      <c r="AF103" s="53" t="s">
        <v>362</v>
      </c>
      <c r="AG103" s="53" t="s">
        <v>355</v>
      </c>
      <c r="AH103" s="53"/>
      <c r="AI103" s="53">
        <f>0+0</f>
        <v>0</v>
      </c>
    </row>
    <row r="104" spans="1:35" ht="63.75" x14ac:dyDescent="0.2">
      <c r="A104" s="46">
        <v>69</v>
      </c>
      <c r="B104" s="47" t="s">
        <v>363</v>
      </c>
      <c r="C104" s="48" t="str">
        <f t="shared" ca="1" si="3"/>
        <v xml:space="preserve">Прочие индивидуальные сварные конструкции, масса сборочной единицы до 0,1 т
т
</v>
      </c>
      <c r="D104" s="46" t="s">
        <v>364</v>
      </c>
      <c r="E104" s="49">
        <v>10508</v>
      </c>
      <c r="F104" s="49"/>
      <c r="G104" s="49">
        <v>10508</v>
      </c>
      <c r="H104" s="50" t="s">
        <v>365</v>
      </c>
      <c r="I104" s="51">
        <v>112</v>
      </c>
      <c r="J104" s="49"/>
      <c r="K104" s="49"/>
      <c r="L104" s="49" t="str">
        <f>IF(0.00153*10508=0," ",TEXT(,ROUND((0.00153*10508*6.995),2)))</f>
        <v>112,46</v>
      </c>
      <c r="M104" s="49"/>
      <c r="N104" s="49"/>
      <c r="O104" s="52"/>
      <c r="P104" s="52"/>
      <c r="Q104" s="52"/>
      <c r="R104" s="52"/>
      <c r="S104" s="52"/>
      <c r="T104" s="53"/>
      <c r="U104" s="53"/>
      <c r="V104" s="53"/>
      <c r="W104" s="53"/>
      <c r="X104" s="53"/>
      <c r="Y104" s="53"/>
      <c r="Z104" s="53"/>
      <c r="AA104" s="53"/>
      <c r="AB104" s="53"/>
      <c r="AC104" s="53"/>
      <c r="AD104" s="53"/>
      <c r="AE104" s="53"/>
      <c r="AF104" s="53" t="s">
        <v>366</v>
      </c>
      <c r="AG104" s="53" t="s">
        <v>301</v>
      </c>
      <c r="AH104" s="53"/>
      <c r="AI104" s="53">
        <f>0+0</f>
        <v>0</v>
      </c>
    </row>
    <row r="105" spans="1:35" ht="89.25" x14ac:dyDescent="0.2">
      <c r="A105" s="46">
        <v>70</v>
      </c>
      <c r="B105" s="47" t="s">
        <v>339</v>
      </c>
      <c r="C105" s="48" t="str">
        <f t="shared" ca="1" si="3"/>
        <v xml:space="preserve">Устройство переходных лестниц  на кровле
100 м ограждения
106 руб. НР 92%=120%*(0,85*0,9) от ФОТ (115 руб.)
51 руб.СП 44%=65%*(0,8*0,85) от ФОТ (115 руб.)
</v>
      </c>
      <c r="D105" s="46">
        <v>0.105</v>
      </c>
      <c r="E105" s="49" t="s">
        <v>340</v>
      </c>
      <c r="F105" s="49" t="s">
        <v>341</v>
      </c>
      <c r="G105" s="49">
        <v>3032.91</v>
      </c>
      <c r="H105" s="50" t="s">
        <v>79</v>
      </c>
      <c r="I105" s="51">
        <v>2633</v>
      </c>
      <c r="J105" s="49">
        <v>115</v>
      </c>
      <c r="K105" s="49">
        <v>79</v>
      </c>
      <c r="L105" s="49" t="str">
        <f>IF(0.105*3032.91=0," ",TEXT(,ROUND((0.105*3032.91*7.67),2)))</f>
        <v>2442,55</v>
      </c>
      <c r="M105" s="49" t="s">
        <v>343</v>
      </c>
      <c r="N105" s="49" t="s">
        <v>367</v>
      </c>
      <c r="O105" s="52"/>
      <c r="P105" s="52"/>
      <c r="Q105" s="52"/>
      <c r="R105" s="52"/>
      <c r="S105" s="52"/>
      <c r="T105" s="53"/>
      <c r="U105" s="53"/>
      <c r="V105" s="53"/>
      <c r="W105" s="53"/>
      <c r="X105" s="53"/>
      <c r="Y105" s="53"/>
      <c r="Z105" s="53"/>
      <c r="AA105" s="53" t="s">
        <v>83</v>
      </c>
      <c r="AB105" s="53" t="s">
        <v>84</v>
      </c>
      <c r="AC105" s="53">
        <v>106</v>
      </c>
      <c r="AD105" s="53">
        <v>51</v>
      </c>
      <c r="AE105" s="53"/>
      <c r="AF105" s="53" t="s">
        <v>368</v>
      </c>
      <c r="AG105" s="53" t="s">
        <v>87</v>
      </c>
      <c r="AH105" s="53"/>
      <c r="AI105" s="53">
        <f>115+0</f>
        <v>115</v>
      </c>
    </row>
    <row r="106" spans="1:35" ht="102" x14ac:dyDescent="0.2">
      <c r="A106" s="46">
        <v>71</v>
      </c>
      <c r="B106" s="47" t="s">
        <v>346</v>
      </c>
      <c r="C106" s="48" t="str">
        <f t="shared" ca="1" si="3"/>
        <v xml:space="preserve">Конструктивные элементы вспомогательного назначения: с преобладанием профильного проката собираемые из двух и более деталей, с отверстиями и без отверстий, соединяемые на сварке
т
</v>
      </c>
      <c r="D106" s="46">
        <v>-3.15E-2</v>
      </c>
      <c r="E106" s="49">
        <v>10045</v>
      </c>
      <c r="F106" s="49"/>
      <c r="G106" s="49">
        <v>10045</v>
      </c>
      <c r="H106" s="50" t="s">
        <v>347</v>
      </c>
      <c r="I106" s="51">
        <v>-2430</v>
      </c>
      <c r="J106" s="49"/>
      <c r="K106" s="49"/>
      <c r="L106" s="49" t="str">
        <f>IF(-0.0315*10045=0," ",TEXT(,ROUND((-0.0315*10045*7.691),2)))</f>
        <v>-2433,57</v>
      </c>
      <c r="M106" s="49"/>
      <c r="N106" s="49"/>
      <c r="O106" s="52"/>
      <c r="P106" s="52"/>
      <c r="Q106" s="52"/>
      <c r="R106" s="52"/>
      <c r="S106" s="52"/>
      <c r="T106" s="53"/>
      <c r="U106" s="53"/>
      <c r="V106" s="53"/>
      <c r="W106" s="53"/>
      <c r="X106" s="53"/>
      <c r="Y106" s="53"/>
      <c r="Z106" s="53"/>
      <c r="AA106" s="53"/>
      <c r="AB106" s="53"/>
      <c r="AC106" s="53"/>
      <c r="AD106" s="53"/>
      <c r="AE106" s="53"/>
      <c r="AF106" s="53" t="s">
        <v>352</v>
      </c>
      <c r="AG106" s="53" t="s">
        <v>301</v>
      </c>
      <c r="AH106" s="53"/>
      <c r="AI106" s="53">
        <f>0+0</f>
        <v>0</v>
      </c>
    </row>
    <row r="107" spans="1:35" ht="63.75" x14ac:dyDescent="0.2">
      <c r="A107" s="46">
        <v>72</v>
      </c>
      <c r="B107" s="47" t="s">
        <v>353</v>
      </c>
      <c r="C107" s="48" t="str">
        <f t="shared" ca="1" si="3"/>
        <v xml:space="preserve">Лестница кровельная длиной 1860 мм 2200/1,18/1,86/5,58=179,64
м
</v>
      </c>
      <c r="D107" s="46">
        <v>10.5</v>
      </c>
      <c r="E107" s="49">
        <v>179.64</v>
      </c>
      <c r="F107" s="49"/>
      <c r="G107" s="49">
        <v>179.64</v>
      </c>
      <c r="H107" s="50" t="s">
        <v>147</v>
      </c>
      <c r="I107" s="51">
        <v>10524</v>
      </c>
      <c r="J107" s="49"/>
      <c r="K107" s="49"/>
      <c r="L107" s="49" t="str">
        <f>IF(10.5*179.64=0," ",TEXT(,ROUND((10.5*179.64*5.58),2)))</f>
        <v>10525,11</v>
      </c>
      <c r="M107" s="49"/>
      <c r="N107" s="49"/>
      <c r="O107" s="52"/>
      <c r="P107" s="52"/>
      <c r="Q107" s="52"/>
      <c r="R107" s="52"/>
      <c r="S107" s="52"/>
      <c r="T107" s="53"/>
      <c r="U107" s="53"/>
      <c r="V107" s="53"/>
      <c r="W107" s="53"/>
      <c r="X107" s="53"/>
      <c r="Y107" s="53"/>
      <c r="Z107" s="53"/>
      <c r="AA107" s="53"/>
      <c r="AB107" s="53"/>
      <c r="AC107" s="53"/>
      <c r="AD107" s="53"/>
      <c r="AE107" s="53"/>
      <c r="AF107" s="53" t="s">
        <v>369</v>
      </c>
      <c r="AG107" s="53" t="s">
        <v>355</v>
      </c>
      <c r="AH107" s="53"/>
      <c r="AI107" s="53">
        <f>0+0</f>
        <v>0</v>
      </c>
    </row>
    <row r="108" spans="1:35" ht="76.5" x14ac:dyDescent="0.2">
      <c r="A108" s="46">
        <v>73</v>
      </c>
      <c r="B108" s="47" t="s">
        <v>339</v>
      </c>
      <c r="C108" s="48" t="str">
        <f t="shared" ca="1" si="3"/>
        <v xml:space="preserve">Устройство переходных мостиков  на кровле
100 м ограждения
30 руб. НР 92%=120%*(0,85*0,9) от ФОТ (33 руб.)
15 руб.СП 44%=65%*(0,8*0,85) от ФОТ (33 руб.)
</v>
      </c>
      <c r="D108" s="46" t="s">
        <v>370</v>
      </c>
      <c r="E108" s="49" t="s">
        <v>340</v>
      </c>
      <c r="F108" s="49" t="s">
        <v>341</v>
      </c>
      <c r="G108" s="49">
        <v>3032.91</v>
      </c>
      <c r="H108" s="50" t="s">
        <v>79</v>
      </c>
      <c r="I108" s="51">
        <v>937</v>
      </c>
      <c r="J108" s="49">
        <v>33</v>
      </c>
      <c r="K108" s="49">
        <v>30</v>
      </c>
      <c r="L108" s="49" t="str">
        <f>IF(0.0375*3032.91=0," ",TEXT(,ROUND((0.0375*3032.91*7.67),2)))</f>
        <v>872,34</v>
      </c>
      <c r="M108" s="49" t="s">
        <v>343</v>
      </c>
      <c r="N108" s="49" t="s">
        <v>371</v>
      </c>
      <c r="O108" s="52"/>
      <c r="P108" s="52"/>
      <c r="Q108" s="52"/>
      <c r="R108" s="52"/>
      <c r="S108" s="52"/>
      <c r="T108" s="53"/>
      <c r="U108" s="53"/>
      <c r="V108" s="53"/>
      <c r="W108" s="53"/>
      <c r="X108" s="53"/>
      <c r="Y108" s="53"/>
      <c r="Z108" s="53"/>
      <c r="AA108" s="53" t="s">
        <v>83</v>
      </c>
      <c r="AB108" s="53" t="s">
        <v>84</v>
      </c>
      <c r="AC108" s="53">
        <v>30</v>
      </c>
      <c r="AD108" s="53">
        <v>15</v>
      </c>
      <c r="AE108" s="53"/>
      <c r="AF108" s="53" t="s">
        <v>372</v>
      </c>
      <c r="AG108" s="53" t="s">
        <v>87</v>
      </c>
      <c r="AH108" s="53"/>
      <c r="AI108" s="53">
        <f>33+0</f>
        <v>33</v>
      </c>
    </row>
    <row r="109" spans="1:35" ht="102" x14ac:dyDescent="0.2">
      <c r="A109" s="46">
        <v>74</v>
      </c>
      <c r="B109" s="47" t="s">
        <v>346</v>
      </c>
      <c r="C109" s="48" t="str">
        <f t="shared" ca="1" si="3"/>
        <v xml:space="preserve">Конструктивные элементы вспомогательного назначения: с преобладанием профильного проката собираемые из двух и более деталей, с отверстиями и без отверстий, соединяемые на сварке
т
</v>
      </c>
      <c r="D109" s="46">
        <v>-1.125E-2</v>
      </c>
      <c r="E109" s="49">
        <v>10045</v>
      </c>
      <c r="F109" s="49"/>
      <c r="G109" s="49">
        <v>10045</v>
      </c>
      <c r="H109" s="50" t="s">
        <v>347</v>
      </c>
      <c r="I109" s="51">
        <v>-869</v>
      </c>
      <c r="J109" s="49"/>
      <c r="K109" s="49"/>
      <c r="L109" s="49" t="str">
        <f>IF(-0.01125*10045=0," ",TEXT(,ROUND((-0.01125*10045*7.691),2)))</f>
        <v>-869,13</v>
      </c>
      <c r="M109" s="49"/>
      <c r="N109" s="49"/>
      <c r="O109" s="52"/>
      <c r="P109" s="52"/>
      <c r="Q109" s="52"/>
      <c r="R109" s="52"/>
      <c r="S109" s="52"/>
      <c r="T109" s="53"/>
      <c r="U109" s="53"/>
      <c r="V109" s="53"/>
      <c r="W109" s="53"/>
      <c r="X109" s="53"/>
      <c r="Y109" s="53"/>
      <c r="Z109" s="53"/>
      <c r="AA109" s="53"/>
      <c r="AB109" s="53"/>
      <c r="AC109" s="53"/>
      <c r="AD109" s="53"/>
      <c r="AE109" s="53"/>
      <c r="AF109" s="53" t="s">
        <v>352</v>
      </c>
      <c r="AG109" s="53" t="s">
        <v>301</v>
      </c>
      <c r="AH109" s="53"/>
      <c r="AI109" s="53">
        <f>0+0</f>
        <v>0</v>
      </c>
    </row>
    <row r="110" spans="1:35" ht="51" x14ac:dyDescent="0.2">
      <c r="A110" s="46">
        <v>75</v>
      </c>
      <c r="B110" s="47" t="s">
        <v>373</v>
      </c>
      <c r="C110" s="48" t="str">
        <f t="shared" ca="1" si="3"/>
        <v xml:space="preserve">Переходный мостик 1250 мм 2250/1,18/5,58=341,72
шт
</v>
      </c>
      <c r="D110" s="46">
        <v>3</v>
      </c>
      <c r="E110" s="49">
        <v>341.72</v>
      </c>
      <c r="F110" s="49"/>
      <c r="G110" s="49">
        <v>341.72</v>
      </c>
      <c r="H110" s="50" t="s">
        <v>147</v>
      </c>
      <c r="I110" s="51">
        <v>5720</v>
      </c>
      <c r="J110" s="49"/>
      <c r="K110" s="49"/>
      <c r="L110" s="49" t="str">
        <f>IF(3*341.72=0," ",TEXT(,ROUND((3*341.72*5.58),2)))</f>
        <v>5720,39</v>
      </c>
      <c r="M110" s="49"/>
      <c r="N110" s="49"/>
      <c r="O110" s="52"/>
      <c r="P110" s="52"/>
      <c r="Q110" s="52"/>
      <c r="R110" s="52"/>
      <c r="S110" s="52"/>
      <c r="T110" s="53"/>
      <c r="U110" s="53"/>
      <c r="V110" s="53"/>
      <c r="W110" s="53"/>
      <c r="X110" s="53"/>
      <c r="Y110" s="53"/>
      <c r="Z110" s="53"/>
      <c r="AA110" s="53"/>
      <c r="AB110" s="53"/>
      <c r="AC110" s="53"/>
      <c r="AD110" s="53"/>
      <c r="AE110" s="53"/>
      <c r="AF110" s="53" t="s">
        <v>374</v>
      </c>
      <c r="AG110" s="53" t="s">
        <v>375</v>
      </c>
      <c r="AH110" s="53"/>
      <c r="AI110" s="53">
        <f>0+0</f>
        <v>0</v>
      </c>
    </row>
    <row r="111" spans="1:35" ht="89.25" x14ac:dyDescent="0.2">
      <c r="A111" s="46">
        <v>76</v>
      </c>
      <c r="B111" s="47" t="s">
        <v>376</v>
      </c>
      <c r="C111" s="48" t="str">
        <f t="shared" ca="1" si="3"/>
        <v xml:space="preserve">Перенавеска водосточных труб: с земли, лестниц или подмостей
100 м труб
4753 руб. НР 71%=83%*0,85 от ФОТ (6695 руб.)
3481 руб.СП 52%=65%*0,8 от ФОТ (6695 руб.)
</v>
      </c>
      <c r="D111" s="46">
        <v>0.78</v>
      </c>
      <c r="E111" s="49" t="s">
        <v>377</v>
      </c>
      <c r="F111" s="49"/>
      <c r="G111" s="49">
        <v>8.02</v>
      </c>
      <c r="H111" s="50" t="s">
        <v>378</v>
      </c>
      <c r="I111" s="51">
        <v>6715</v>
      </c>
      <c r="J111" s="49">
        <v>6695</v>
      </c>
      <c r="K111" s="49"/>
      <c r="L111" s="49" t="str">
        <f>IF(0.78*8.02=0," ",TEXT(,ROUND((0.78*8.02*3.39),2)))</f>
        <v>21,21</v>
      </c>
      <c r="M111" s="49">
        <v>60.4</v>
      </c>
      <c r="N111" s="49">
        <v>47.11</v>
      </c>
      <c r="O111" s="52"/>
      <c r="P111" s="52"/>
      <c r="Q111" s="52"/>
      <c r="R111" s="52"/>
      <c r="S111" s="52"/>
      <c r="T111" s="53"/>
      <c r="U111" s="53"/>
      <c r="V111" s="53"/>
      <c r="W111" s="53"/>
      <c r="X111" s="53"/>
      <c r="Y111" s="53"/>
      <c r="Z111" s="53"/>
      <c r="AA111" s="53" t="s">
        <v>44</v>
      </c>
      <c r="AB111" s="53" t="s">
        <v>45</v>
      </c>
      <c r="AC111" s="53">
        <v>4753</v>
      </c>
      <c r="AD111" s="53">
        <v>3481</v>
      </c>
      <c r="AE111" s="53"/>
      <c r="AF111" s="53" t="s">
        <v>379</v>
      </c>
      <c r="AG111" s="53" t="s">
        <v>380</v>
      </c>
      <c r="AH111" s="53"/>
      <c r="AI111" s="53">
        <f>6695+0</f>
        <v>6695</v>
      </c>
    </row>
    <row r="112" spans="1:35" ht="76.5" x14ac:dyDescent="0.2">
      <c r="A112" s="46">
        <v>77</v>
      </c>
      <c r="B112" s="47" t="s">
        <v>381</v>
      </c>
      <c r="C112" s="48" t="str">
        <f t="shared" ca="1" si="3"/>
        <v xml:space="preserve">Перенавеска водосточных труб: с люлек
100 м труб
8561 руб. НР 71%=83%*0,85 от ФОТ (12058 руб.)
6270 руб.СП 52%=65%*0,8 от ФОТ (12058 руб.)
</v>
      </c>
      <c r="D112" s="46">
        <v>0.78</v>
      </c>
      <c r="E112" s="49" t="s">
        <v>382</v>
      </c>
      <c r="F112" s="49"/>
      <c r="G112" s="49">
        <v>8.02</v>
      </c>
      <c r="H112" s="50" t="s">
        <v>378</v>
      </c>
      <c r="I112" s="51">
        <v>12078</v>
      </c>
      <c r="J112" s="49">
        <v>12058</v>
      </c>
      <c r="K112" s="49"/>
      <c r="L112" s="49" t="str">
        <f>IF(0.78*8.02=0," ",TEXT(,ROUND((0.78*8.02*3.39),2)))</f>
        <v>21,21</v>
      </c>
      <c r="M112" s="49">
        <v>108.7</v>
      </c>
      <c r="N112" s="49">
        <v>84.79</v>
      </c>
      <c r="O112" s="52"/>
      <c r="P112" s="52"/>
      <c r="Q112" s="52"/>
      <c r="R112" s="52"/>
      <c r="S112" s="52"/>
      <c r="T112" s="53"/>
      <c r="U112" s="53"/>
      <c r="V112" s="53"/>
      <c r="W112" s="53"/>
      <c r="X112" s="53"/>
      <c r="Y112" s="53"/>
      <c r="Z112" s="53"/>
      <c r="AA112" s="53" t="s">
        <v>44</v>
      </c>
      <c r="AB112" s="53" t="s">
        <v>45</v>
      </c>
      <c r="AC112" s="53">
        <v>8561</v>
      </c>
      <c r="AD112" s="53">
        <v>6270</v>
      </c>
      <c r="AE112" s="53"/>
      <c r="AF112" s="53" t="s">
        <v>383</v>
      </c>
      <c r="AG112" s="53" t="s">
        <v>380</v>
      </c>
      <c r="AH112" s="53"/>
      <c r="AI112" s="53">
        <f>12058+0</f>
        <v>12058</v>
      </c>
    </row>
    <row r="113" spans="1:35" ht="76.5" x14ac:dyDescent="0.2">
      <c r="A113" s="46">
        <v>78</v>
      </c>
      <c r="B113" s="47" t="s">
        <v>384</v>
      </c>
      <c r="C113" s="48" t="str">
        <f t="shared" ca="1" si="3"/>
        <v xml:space="preserve">Звенья водосточных труб из оцинкованной стали толщиной 0,55 мм, диаметром 140 мм, марка ТВ-140
м
</v>
      </c>
      <c r="D113" s="46">
        <v>140</v>
      </c>
      <c r="E113" s="49">
        <v>56.5</v>
      </c>
      <c r="F113" s="49"/>
      <c r="G113" s="49">
        <v>56.5</v>
      </c>
      <c r="H113" s="50" t="s">
        <v>385</v>
      </c>
      <c r="I113" s="51">
        <v>20985</v>
      </c>
      <c r="J113" s="49"/>
      <c r="K113" s="49"/>
      <c r="L113" s="49" t="str">
        <f>IF(140*56.5=0," ",TEXT(,ROUND((140*56.5*2.653),2)))</f>
        <v>20985,23</v>
      </c>
      <c r="M113" s="49"/>
      <c r="N113" s="49"/>
      <c r="O113" s="52"/>
      <c r="P113" s="52"/>
      <c r="Q113" s="52"/>
      <c r="R113" s="52"/>
      <c r="S113" s="52"/>
      <c r="T113" s="53"/>
      <c r="U113" s="53"/>
      <c r="V113" s="53"/>
      <c r="W113" s="53"/>
      <c r="X113" s="53"/>
      <c r="Y113" s="53"/>
      <c r="Z113" s="53"/>
      <c r="AA113" s="53"/>
      <c r="AB113" s="53"/>
      <c r="AC113" s="53"/>
      <c r="AD113" s="53"/>
      <c r="AE113" s="53"/>
      <c r="AF113" s="53" t="s">
        <v>386</v>
      </c>
      <c r="AG113" s="53" t="s">
        <v>355</v>
      </c>
      <c r="AH113" s="53"/>
      <c r="AI113" s="53">
        <f>0+0</f>
        <v>0</v>
      </c>
    </row>
    <row r="114" spans="1:35" ht="63.75" x14ac:dyDescent="0.2">
      <c r="A114" s="46">
        <v>79</v>
      </c>
      <c r="B114" s="47" t="s">
        <v>387</v>
      </c>
      <c r="C114" s="48" t="str">
        <f t="shared" ca="1" si="3"/>
        <v xml:space="preserve">Воронка водосточная из оцинкованной стали толщиной 0,55 диаметром 215 мм
шт.
</v>
      </c>
      <c r="D114" s="46">
        <v>8</v>
      </c>
      <c r="E114" s="49">
        <v>67.8</v>
      </c>
      <c r="F114" s="49"/>
      <c r="G114" s="49">
        <v>67.8</v>
      </c>
      <c r="H114" s="50" t="s">
        <v>388</v>
      </c>
      <c r="I114" s="51">
        <v>1625</v>
      </c>
      <c r="J114" s="49"/>
      <c r="K114" s="49"/>
      <c r="L114" s="49" t="str">
        <f>IF(8*67.8=0," ",TEXT(,ROUND((8*67.8*2.998),2)))</f>
        <v>1626,12</v>
      </c>
      <c r="M114" s="49"/>
      <c r="N114" s="49"/>
      <c r="O114" s="52"/>
      <c r="P114" s="52"/>
      <c r="Q114" s="52"/>
      <c r="R114" s="52"/>
      <c r="S114" s="52"/>
      <c r="T114" s="53"/>
      <c r="U114" s="53"/>
      <c r="V114" s="53"/>
      <c r="W114" s="53"/>
      <c r="X114" s="53"/>
      <c r="Y114" s="53"/>
      <c r="Z114" s="53"/>
      <c r="AA114" s="53"/>
      <c r="AB114" s="53"/>
      <c r="AC114" s="53"/>
      <c r="AD114" s="53"/>
      <c r="AE114" s="53"/>
      <c r="AF114" s="53" t="s">
        <v>389</v>
      </c>
      <c r="AG114" s="53" t="s">
        <v>217</v>
      </c>
      <c r="AH114" s="53"/>
      <c r="AI114" s="53">
        <f>0+0</f>
        <v>0</v>
      </c>
    </row>
    <row r="115" spans="1:35" ht="63.75" x14ac:dyDescent="0.2">
      <c r="A115" s="46">
        <v>80</v>
      </c>
      <c r="B115" s="47" t="s">
        <v>390</v>
      </c>
      <c r="C115" s="48" t="str">
        <f t="shared" ca="1" si="3"/>
        <v xml:space="preserve">Колено из оцинкованной стали толщиной 0,55 мм, диаметром 140 мм, марка ТВ-140
шт.
</v>
      </c>
      <c r="D115" s="46">
        <v>16</v>
      </c>
      <c r="E115" s="49">
        <v>34.799999999999997</v>
      </c>
      <c r="F115" s="49"/>
      <c r="G115" s="49">
        <v>34.799999999999997</v>
      </c>
      <c r="H115" s="50" t="s">
        <v>391</v>
      </c>
      <c r="I115" s="51">
        <v>2235</v>
      </c>
      <c r="J115" s="49"/>
      <c r="K115" s="49"/>
      <c r="L115" s="49" t="str">
        <f>IF(16*34.8=0," ",TEXT(,ROUND((16*34.8*4.013),2)))</f>
        <v>2234,44</v>
      </c>
      <c r="M115" s="49"/>
      <c r="N115" s="49"/>
      <c r="O115" s="52"/>
      <c r="P115" s="52"/>
      <c r="Q115" s="52"/>
      <c r="R115" s="52"/>
      <c r="S115" s="52"/>
      <c r="T115" s="53"/>
      <c r="U115" s="53"/>
      <c r="V115" s="53"/>
      <c r="W115" s="53"/>
      <c r="X115" s="53"/>
      <c r="Y115" s="53"/>
      <c r="Z115" s="53"/>
      <c r="AA115" s="53"/>
      <c r="AB115" s="53"/>
      <c r="AC115" s="53"/>
      <c r="AD115" s="53"/>
      <c r="AE115" s="53"/>
      <c r="AF115" s="53" t="s">
        <v>392</v>
      </c>
      <c r="AG115" s="53" t="s">
        <v>217</v>
      </c>
      <c r="AH115" s="53"/>
      <c r="AI115" s="53">
        <f>0+0</f>
        <v>0</v>
      </c>
    </row>
    <row r="116" spans="1:35" ht="63.75" x14ac:dyDescent="0.2">
      <c r="A116" s="46">
        <v>81</v>
      </c>
      <c r="B116" s="47" t="s">
        <v>393</v>
      </c>
      <c r="C116" s="48" t="str">
        <f t="shared" ca="1" si="3"/>
        <v xml:space="preserve">Отливы (отметы) из оцинкованной стали толщиной 0,55 мм диаметром 140 мм
шт.
</v>
      </c>
      <c r="D116" s="46">
        <v>8</v>
      </c>
      <c r="E116" s="49">
        <v>35.9</v>
      </c>
      <c r="F116" s="49"/>
      <c r="G116" s="49">
        <v>35.9</v>
      </c>
      <c r="H116" s="50" t="s">
        <v>394</v>
      </c>
      <c r="I116" s="51">
        <v>1119</v>
      </c>
      <c r="J116" s="49"/>
      <c r="K116" s="49"/>
      <c r="L116" s="49" t="str">
        <f>IF(8*35.9=0," ",TEXT(,ROUND((8*35.9*3.9),2)))</f>
        <v>1120,08</v>
      </c>
      <c r="M116" s="49"/>
      <c r="N116" s="49"/>
      <c r="O116" s="52"/>
      <c r="P116" s="52"/>
      <c r="Q116" s="52"/>
      <c r="R116" s="52"/>
      <c r="S116" s="52"/>
      <c r="T116" s="53"/>
      <c r="U116" s="53"/>
      <c r="V116" s="53"/>
      <c r="W116" s="53"/>
      <c r="X116" s="53"/>
      <c r="Y116" s="53"/>
      <c r="Z116" s="53"/>
      <c r="AA116" s="53"/>
      <c r="AB116" s="53"/>
      <c r="AC116" s="53"/>
      <c r="AD116" s="53"/>
      <c r="AE116" s="53"/>
      <c r="AF116" s="53" t="s">
        <v>395</v>
      </c>
      <c r="AG116" s="53" t="s">
        <v>217</v>
      </c>
      <c r="AH116" s="53"/>
      <c r="AI116" s="53">
        <f>0+0</f>
        <v>0</v>
      </c>
    </row>
    <row r="117" spans="1:35" ht="51" x14ac:dyDescent="0.2">
      <c r="A117" s="56">
        <v>82</v>
      </c>
      <c r="B117" s="57" t="s">
        <v>396</v>
      </c>
      <c r="C117" s="58" t="str">
        <f t="shared" ca="1" si="3"/>
        <v xml:space="preserve">Поковки из квадратных заготовок, масса 1,8 кг
т
</v>
      </c>
      <c r="D117" s="56" t="s">
        <v>397</v>
      </c>
      <c r="E117" s="59">
        <v>5989</v>
      </c>
      <c r="F117" s="59"/>
      <c r="G117" s="59">
        <v>5989</v>
      </c>
      <c r="H117" s="60" t="s">
        <v>398</v>
      </c>
      <c r="I117" s="61">
        <v>4783</v>
      </c>
      <c r="J117" s="59"/>
      <c r="K117" s="59"/>
      <c r="L117" s="59" t="str">
        <f>IF(0.1872*5989=0," ",TEXT(,ROUND((0.1872*5989*4.267),2)))</f>
        <v>4783,91</v>
      </c>
      <c r="M117" s="59"/>
      <c r="N117" s="59"/>
      <c r="O117" s="52"/>
      <c r="P117" s="52"/>
      <c r="Q117" s="52"/>
      <c r="R117" s="52"/>
      <c r="S117" s="52"/>
      <c r="T117" s="53"/>
      <c r="U117" s="53"/>
      <c r="V117" s="53"/>
      <c r="W117" s="53"/>
      <c r="X117" s="53"/>
      <c r="Y117" s="53"/>
      <c r="Z117" s="53"/>
      <c r="AA117" s="53"/>
      <c r="AB117" s="53"/>
      <c r="AC117" s="53"/>
      <c r="AD117" s="53"/>
      <c r="AE117" s="53"/>
      <c r="AF117" s="53" t="s">
        <v>399</v>
      </c>
      <c r="AG117" s="53" t="s">
        <v>301</v>
      </c>
      <c r="AH117" s="53"/>
      <c r="AI117" s="53">
        <f>0+0</f>
        <v>0</v>
      </c>
    </row>
    <row r="118" spans="1:35" ht="25.5" x14ac:dyDescent="0.2">
      <c r="A118" s="70" t="s">
        <v>118</v>
      </c>
      <c r="B118" s="65"/>
      <c r="C118" s="65"/>
      <c r="D118" s="65"/>
      <c r="E118" s="65"/>
      <c r="F118" s="65"/>
      <c r="G118" s="65"/>
      <c r="H118" s="65"/>
      <c r="I118" s="51">
        <v>312262</v>
      </c>
      <c r="J118" s="49">
        <v>19096</v>
      </c>
      <c r="K118" s="49" t="s">
        <v>400</v>
      </c>
      <c r="L118" s="49">
        <v>288418</v>
      </c>
      <c r="M118" s="49"/>
      <c r="N118" s="49" t="s">
        <v>401</v>
      </c>
      <c r="O118" s="18"/>
      <c r="P118" s="19"/>
      <c r="Q118" s="18"/>
      <c r="R118" s="18"/>
      <c r="S118" s="18"/>
    </row>
    <row r="119" spans="1:35" ht="25.5" x14ac:dyDescent="0.2">
      <c r="A119" s="70" t="s">
        <v>220</v>
      </c>
      <c r="B119" s="65"/>
      <c r="C119" s="65"/>
      <c r="D119" s="65"/>
      <c r="E119" s="65"/>
      <c r="F119" s="65"/>
      <c r="G119" s="65"/>
      <c r="H119" s="65"/>
      <c r="I119" s="51">
        <v>315802</v>
      </c>
      <c r="J119" s="49">
        <v>21520</v>
      </c>
      <c r="K119" s="49" t="s">
        <v>402</v>
      </c>
      <c r="L119" s="49">
        <v>288418</v>
      </c>
      <c r="M119" s="49"/>
      <c r="N119" s="49" t="s">
        <v>403</v>
      </c>
      <c r="O119" s="18"/>
      <c r="P119" s="19"/>
      <c r="Q119" s="18"/>
      <c r="R119" s="18"/>
      <c r="S119" s="18"/>
    </row>
    <row r="120" spans="1:35" x14ac:dyDescent="0.2">
      <c r="A120" s="70" t="s">
        <v>223</v>
      </c>
      <c r="B120" s="65"/>
      <c r="C120" s="65"/>
      <c r="D120" s="65"/>
      <c r="E120" s="65"/>
      <c r="F120" s="65"/>
      <c r="G120" s="65"/>
      <c r="H120" s="65"/>
      <c r="I120" s="51"/>
      <c r="J120" s="49"/>
      <c r="K120" s="49"/>
      <c r="L120" s="49"/>
      <c r="M120" s="49"/>
      <c r="N120" s="49"/>
      <c r="O120" s="18"/>
      <c r="P120" s="19"/>
      <c r="Q120" s="18"/>
      <c r="R120" s="18"/>
      <c r="S120" s="18"/>
    </row>
    <row r="121" spans="1:35" ht="27.95" customHeight="1" x14ac:dyDescent="0.2">
      <c r="A121" s="70" t="s">
        <v>404</v>
      </c>
      <c r="B121" s="65"/>
      <c r="C121" s="65"/>
      <c r="D121" s="65"/>
      <c r="E121" s="65"/>
      <c r="F121" s="65"/>
      <c r="G121" s="65"/>
      <c r="H121" s="65"/>
      <c r="I121" s="51">
        <v>3540</v>
      </c>
      <c r="J121" s="49">
        <v>2424</v>
      </c>
      <c r="K121" s="49" t="s">
        <v>405</v>
      </c>
      <c r="L121" s="49"/>
      <c r="M121" s="49"/>
      <c r="N121" s="49" t="s">
        <v>406</v>
      </c>
      <c r="O121" s="18"/>
      <c r="P121" s="19"/>
      <c r="Q121" s="18"/>
      <c r="R121" s="18"/>
      <c r="S121" s="18"/>
    </row>
    <row r="122" spans="1:35" ht="25.5" x14ac:dyDescent="0.2">
      <c r="A122" s="70" t="s">
        <v>121</v>
      </c>
      <c r="B122" s="65"/>
      <c r="C122" s="65"/>
      <c r="D122" s="65"/>
      <c r="E122" s="65"/>
      <c r="F122" s="65"/>
      <c r="G122" s="65"/>
      <c r="H122" s="65"/>
      <c r="I122" s="51">
        <v>1665423</v>
      </c>
      <c r="J122" s="49">
        <v>354005</v>
      </c>
      <c r="K122" s="49" t="s">
        <v>407</v>
      </c>
      <c r="L122" s="49">
        <v>1247146</v>
      </c>
      <c r="M122" s="49"/>
      <c r="N122" s="49" t="s">
        <v>403</v>
      </c>
      <c r="O122" s="18"/>
      <c r="P122" s="19"/>
      <c r="Q122" s="18"/>
      <c r="R122" s="18"/>
      <c r="S122" s="18"/>
    </row>
    <row r="123" spans="1:35" x14ac:dyDescent="0.2">
      <c r="A123" s="70" t="s">
        <v>123</v>
      </c>
      <c r="B123" s="65"/>
      <c r="C123" s="65"/>
      <c r="D123" s="65"/>
      <c r="E123" s="65"/>
      <c r="F123" s="65"/>
      <c r="G123" s="65"/>
      <c r="H123" s="65"/>
      <c r="I123" s="51">
        <v>316817</v>
      </c>
      <c r="J123" s="49"/>
      <c r="K123" s="49"/>
      <c r="L123" s="49"/>
      <c r="M123" s="49"/>
      <c r="N123" s="49"/>
      <c r="O123" s="18"/>
      <c r="P123" s="19"/>
      <c r="Q123" s="18"/>
      <c r="R123" s="18"/>
      <c r="S123" s="18"/>
    </row>
    <row r="124" spans="1:35" x14ac:dyDescent="0.2">
      <c r="A124" s="70" t="s">
        <v>124</v>
      </c>
      <c r="B124" s="65"/>
      <c r="C124" s="65"/>
      <c r="D124" s="65"/>
      <c r="E124" s="65"/>
      <c r="F124" s="65"/>
      <c r="G124" s="65"/>
      <c r="H124" s="65"/>
      <c r="I124" s="51">
        <v>160623</v>
      </c>
      <c r="J124" s="49"/>
      <c r="K124" s="49"/>
      <c r="L124" s="49"/>
      <c r="M124" s="49"/>
      <c r="N124" s="49"/>
      <c r="O124" s="18"/>
      <c r="P124" s="19"/>
      <c r="Q124" s="18"/>
      <c r="R124" s="18"/>
      <c r="S124" s="18"/>
    </row>
    <row r="125" spans="1:35" ht="25.5" x14ac:dyDescent="0.2">
      <c r="A125" s="71" t="s">
        <v>408</v>
      </c>
      <c r="B125" s="72"/>
      <c r="C125" s="72"/>
      <c r="D125" s="72"/>
      <c r="E125" s="72"/>
      <c r="F125" s="72"/>
      <c r="G125" s="72"/>
      <c r="H125" s="72"/>
      <c r="I125" s="61">
        <v>2142863</v>
      </c>
      <c r="J125" s="59"/>
      <c r="K125" s="59"/>
      <c r="L125" s="59"/>
      <c r="M125" s="59"/>
      <c r="N125" s="59" t="s">
        <v>403</v>
      </c>
      <c r="O125" s="18"/>
      <c r="P125" s="19"/>
      <c r="Q125" s="18"/>
      <c r="R125" s="18"/>
      <c r="S125" s="18"/>
    </row>
    <row r="126" spans="1:35" ht="21" customHeight="1" x14ac:dyDescent="0.2">
      <c r="A126" s="68" t="s">
        <v>409</v>
      </c>
      <c r="B126" s="69"/>
      <c r="C126" s="69"/>
      <c r="D126" s="69"/>
      <c r="E126" s="69"/>
      <c r="F126" s="69"/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69"/>
      <c r="U126" s="69"/>
      <c r="V126" s="69"/>
      <c r="W126" s="69"/>
      <c r="X126" s="69"/>
      <c r="Y126" s="69"/>
      <c r="Z126" s="69"/>
      <c r="AA126" s="69"/>
      <c r="AB126" s="69"/>
      <c r="AC126" s="69"/>
      <c r="AD126" s="69"/>
      <c r="AE126" s="69"/>
      <c r="AF126" s="69"/>
      <c r="AG126" s="69"/>
      <c r="AH126" s="69"/>
      <c r="AI126" s="69"/>
    </row>
    <row r="127" spans="1:35" ht="102" x14ac:dyDescent="0.2">
      <c r="A127" s="46">
        <v>83</v>
      </c>
      <c r="B127" s="47" t="s">
        <v>410</v>
      </c>
      <c r="C127" s="48" t="str">
        <f t="shared" ref="C127:C134" ca="1" si="4">INDIRECT("AF"&amp;ROW())&amp;CHAR(10)&amp;INDIRECT("AG"&amp;ROW())&amp;IF(INDIRECT("AE"&amp;ROW())="", "", CHAR(10)&amp;INDIRECT("AE"&amp;ROW()))&amp;IF(INDIRECT("AC"&amp;ROW())="", "", CHAR(10)&amp;INDIRECT("AC"&amp;ROW())&amp;" руб. "&amp;INDIRECT("AA"&amp;ROW())&amp;" ("&amp;INDIRECT("AI"&amp;ROW())&amp;" руб.)")&amp;IF(INDIRECT("AD"&amp;ROW())="", "", CHAR(10)&amp;INDIRECT("AD"&amp;ROW())&amp;" руб."&amp;INDIRECT("AB"&amp;ROW())&amp;" ("&amp;INDIRECT("AI"&amp;ROW())&amp;" руб.)")&amp;CHAR(10)&amp;CHAR(10)</f>
        <v xml:space="preserve">Установка элементов каркаса: из брусьев
1 м3 древесины в конструкции
2947 руб. НР 90%=118%*(0,85*0,9) от ФОТ (3274 руб.)
1408 руб.СП 43%=63%*(0,8*0,85) от ФОТ (3274 руб.)
</v>
      </c>
      <c r="D127" s="46">
        <v>0.92</v>
      </c>
      <c r="E127" s="49" t="s">
        <v>200</v>
      </c>
      <c r="F127" s="49">
        <v>33.51</v>
      </c>
      <c r="G127" s="49">
        <v>2189</v>
      </c>
      <c r="H127" s="50" t="s">
        <v>201</v>
      </c>
      <c r="I127" s="51">
        <v>10493</v>
      </c>
      <c r="J127" s="49">
        <v>3274</v>
      </c>
      <c r="K127" s="49">
        <v>432</v>
      </c>
      <c r="L127" s="49" t="str">
        <f>IF(0.92*2189=0," ",TEXT(,ROUND((0.92*2189*3.37),2)))</f>
        <v>6786,78</v>
      </c>
      <c r="M127" s="49">
        <v>22.5</v>
      </c>
      <c r="N127" s="49">
        <v>20.7</v>
      </c>
      <c r="O127" s="52"/>
      <c r="P127" s="52"/>
      <c r="Q127" s="52"/>
      <c r="R127" s="52"/>
      <c r="S127" s="52"/>
      <c r="T127" s="53"/>
      <c r="U127" s="53"/>
      <c r="V127" s="53"/>
      <c r="W127" s="53"/>
      <c r="X127" s="53"/>
      <c r="Y127" s="53"/>
      <c r="Z127" s="53"/>
      <c r="AA127" s="53" t="s">
        <v>189</v>
      </c>
      <c r="AB127" s="53" t="s">
        <v>190</v>
      </c>
      <c r="AC127" s="53">
        <v>2947</v>
      </c>
      <c r="AD127" s="53">
        <v>1408</v>
      </c>
      <c r="AE127" s="53"/>
      <c r="AF127" s="53" t="s">
        <v>202</v>
      </c>
      <c r="AG127" s="53" t="s">
        <v>203</v>
      </c>
      <c r="AH127" s="53"/>
      <c r="AI127" s="53">
        <f>3274+0</f>
        <v>3274</v>
      </c>
    </row>
    <row r="128" spans="1:35" ht="127.5" x14ac:dyDescent="0.2">
      <c r="A128" s="46">
        <v>84</v>
      </c>
      <c r="B128" s="47" t="s">
        <v>411</v>
      </c>
      <c r="C128" s="48" t="str">
        <f t="shared" ca="1" si="4"/>
        <v xml:space="preserve">Изоляция изделиями из волокнистых и зернистых материалов с креплением на клее и дюбелями холодных поверхностей: наружных стен
100 м2 поверхности
2811 руб. НР 77%=100%*(0,85*0,9) от ФОТ (3651 руб.)
1752 руб.СП 48%=70%*(0,8*0,85) от ФОТ (3651 руб.)
</v>
      </c>
      <c r="D128" s="46">
        <v>1.452</v>
      </c>
      <c r="E128" s="49" t="s">
        <v>412</v>
      </c>
      <c r="F128" s="49" t="s">
        <v>413</v>
      </c>
      <c r="G128" s="49">
        <v>105.45</v>
      </c>
      <c r="H128" s="50" t="s">
        <v>414</v>
      </c>
      <c r="I128" s="51">
        <v>4021</v>
      </c>
      <c r="J128" s="49">
        <v>3635</v>
      </c>
      <c r="K128" s="49" t="s">
        <v>415</v>
      </c>
      <c r="L128" s="49" t="str">
        <f>IF(1.452*105.45=0," ",TEXT(,ROUND((1.452*105.45*1.42),2)))</f>
        <v>217,42</v>
      </c>
      <c r="M128" s="49" t="s">
        <v>416</v>
      </c>
      <c r="N128" s="49" t="s">
        <v>417</v>
      </c>
      <c r="O128" s="52"/>
      <c r="P128" s="52"/>
      <c r="Q128" s="52"/>
      <c r="R128" s="52"/>
      <c r="S128" s="52"/>
      <c r="T128" s="53"/>
      <c r="U128" s="53"/>
      <c r="V128" s="53"/>
      <c r="W128" s="53"/>
      <c r="X128" s="53"/>
      <c r="Y128" s="53"/>
      <c r="Z128" s="53"/>
      <c r="AA128" s="53" t="s">
        <v>418</v>
      </c>
      <c r="AB128" s="53" t="s">
        <v>34</v>
      </c>
      <c r="AC128" s="53">
        <v>2811</v>
      </c>
      <c r="AD128" s="53">
        <v>1752</v>
      </c>
      <c r="AE128" s="53"/>
      <c r="AF128" s="53" t="s">
        <v>419</v>
      </c>
      <c r="AG128" s="53" t="s">
        <v>420</v>
      </c>
      <c r="AH128" s="53"/>
      <c r="AI128" s="53">
        <f>3635+16</f>
        <v>3651</v>
      </c>
    </row>
    <row r="129" spans="1:35" ht="76.5" x14ac:dyDescent="0.2">
      <c r="A129" s="46">
        <v>85</v>
      </c>
      <c r="B129" s="47" t="s">
        <v>176</v>
      </c>
      <c r="C129" s="48" t="str">
        <f t="shared" ca="1" si="4"/>
        <v xml:space="preserve">Плиты теплоизоляционные энергетические гидрофобизированные базальтовые: ПТЭ-125 , размером 2000х1000х50 мм 3828,81/5,58=686,17
м3
</v>
      </c>
      <c r="D129" s="46" t="s">
        <v>421</v>
      </c>
      <c r="E129" s="49">
        <v>686.17</v>
      </c>
      <c r="F129" s="49"/>
      <c r="G129" s="49">
        <v>686.17</v>
      </c>
      <c r="H129" s="50" t="s">
        <v>147</v>
      </c>
      <c r="I129" s="51">
        <v>28631</v>
      </c>
      <c r="J129" s="49"/>
      <c r="K129" s="49"/>
      <c r="L129" s="49" t="str">
        <f>IF(7.4778*686.17=0," ",TEXT(,ROUND((7.4778*686.17*5.58),2)))</f>
        <v>28631,21</v>
      </c>
      <c r="M129" s="49"/>
      <c r="N129" s="49"/>
      <c r="O129" s="52"/>
      <c r="P129" s="52"/>
      <c r="Q129" s="52"/>
      <c r="R129" s="52"/>
      <c r="S129" s="52"/>
      <c r="T129" s="53"/>
      <c r="U129" s="53"/>
      <c r="V129" s="53"/>
      <c r="W129" s="53"/>
      <c r="X129" s="53"/>
      <c r="Y129" s="53"/>
      <c r="Z129" s="53"/>
      <c r="AA129" s="53"/>
      <c r="AB129" s="53"/>
      <c r="AC129" s="53"/>
      <c r="AD129" s="53"/>
      <c r="AE129" s="53"/>
      <c r="AF129" s="53" t="s">
        <v>178</v>
      </c>
      <c r="AG129" s="53" t="s">
        <v>179</v>
      </c>
      <c r="AH129" s="53"/>
      <c r="AI129" s="53">
        <f>0+0</f>
        <v>0</v>
      </c>
    </row>
    <row r="130" spans="1:35" ht="127.5" x14ac:dyDescent="0.2">
      <c r="A130" s="46">
        <v>86</v>
      </c>
      <c r="B130" s="47" t="s">
        <v>422</v>
      </c>
      <c r="C130" s="48" t="str">
        <f t="shared" ca="1" si="4"/>
        <v xml:space="preserve">Покрытие изоляции плоских (криволинейных) поверхностей листовым металлом с заготовкой покрытия
100 м2 поверхности покрытия изоляции
30919 руб. НР 77%=100%*(0,85*0,9) от ФОТ (40154 руб.)
19274 руб.СП 48%=70%*(0,8*0,85) от ФОТ (40154 руб.)
</v>
      </c>
      <c r="D130" s="46">
        <v>1.6776</v>
      </c>
      <c r="E130" s="49" t="s">
        <v>423</v>
      </c>
      <c r="F130" s="49">
        <v>578.44000000000005</v>
      </c>
      <c r="G130" s="49">
        <v>8515.41</v>
      </c>
      <c r="H130" s="50" t="s">
        <v>424</v>
      </c>
      <c r="I130" s="51">
        <v>102714</v>
      </c>
      <c r="J130" s="49">
        <v>40154</v>
      </c>
      <c r="K130" s="49">
        <v>9704</v>
      </c>
      <c r="L130" s="49" t="str">
        <f>IF(1.6776*8515.41=0," ",TEXT(,ROUND((1.6776*8515.41*3.7),2)))</f>
        <v>52856,17</v>
      </c>
      <c r="M130" s="49">
        <v>139.55000000000001</v>
      </c>
      <c r="N130" s="49">
        <v>234.11</v>
      </c>
      <c r="O130" s="52"/>
      <c r="P130" s="52"/>
      <c r="Q130" s="52"/>
      <c r="R130" s="52"/>
      <c r="S130" s="52"/>
      <c r="T130" s="53"/>
      <c r="U130" s="53"/>
      <c r="V130" s="53"/>
      <c r="W130" s="53"/>
      <c r="X130" s="53"/>
      <c r="Y130" s="53"/>
      <c r="Z130" s="53"/>
      <c r="AA130" s="53" t="s">
        <v>418</v>
      </c>
      <c r="AB130" s="53" t="s">
        <v>34</v>
      </c>
      <c r="AC130" s="53">
        <v>30919</v>
      </c>
      <c r="AD130" s="53">
        <v>19274</v>
      </c>
      <c r="AE130" s="53"/>
      <c r="AF130" s="53" t="s">
        <v>425</v>
      </c>
      <c r="AG130" s="53" t="s">
        <v>426</v>
      </c>
      <c r="AH130" s="53"/>
      <c r="AI130" s="53">
        <f>40154+0</f>
        <v>40154</v>
      </c>
    </row>
    <row r="131" spans="1:35" ht="63.75" x14ac:dyDescent="0.2">
      <c r="A131" s="46">
        <v>87</v>
      </c>
      <c r="B131" s="47" t="s">
        <v>427</v>
      </c>
      <c r="C131" s="48" t="str">
        <f t="shared" ca="1" si="4"/>
        <v xml:space="preserve">Сталь листовая оцинкованная толщиной листа: 0,8 мм
т
</v>
      </c>
      <c r="D131" s="46">
        <v>-1.29</v>
      </c>
      <c r="E131" s="49">
        <v>11000</v>
      </c>
      <c r="F131" s="49"/>
      <c r="G131" s="49">
        <v>11000</v>
      </c>
      <c r="H131" s="50" t="s">
        <v>428</v>
      </c>
      <c r="I131" s="51">
        <v>-52687</v>
      </c>
      <c r="J131" s="49"/>
      <c r="K131" s="49"/>
      <c r="L131" s="49" t="str">
        <f>IF(-1.29*11000=0," ",TEXT(,ROUND((-1.29*11000*3.713),2)))</f>
        <v>-52687,47</v>
      </c>
      <c r="M131" s="49"/>
      <c r="N131" s="49"/>
      <c r="O131" s="52"/>
      <c r="P131" s="52"/>
      <c r="Q131" s="52"/>
      <c r="R131" s="52"/>
      <c r="S131" s="52"/>
      <c r="T131" s="53"/>
      <c r="U131" s="53"/>
      <c r="V131" s="53"/>
      <c r="W131" s="53"/>
      <c r="X131" s="53"/>
      <c r="Y131" s="53"/>
      <c r="Z131" s="53"/>
      <c r="AA131" s="53"/>
      <c r="AB131" s="53"/>
      <c r="AC131" s="53"/>
      <c r="AD131" s="53"/>
      <c r="AE131" s="53"/>
      <c r="AF131" s="53" t="s">
        <v>429</v>
      </c>
      <c r="AG131" s="53" t="s">
        <v>301</v>
      </c>
      <c r="AH131" s="53"/>
      <c r="AI131" s="53">
        <f>0+0</f>
        <v>0</v>
      </c>
    </row>
    <row r="132" spans="1:35" ht="63.75" x14ac:dyDescent="0.2">
      <c r="A132" s="46">
        <v>88</v>
      </c>
      <c r="B132" s="47" t="s">
        <v>328</v>
      </c>
      <c r="C132" s="48" t="str">
        <f t="shared" ca="1" si="4"/>
        <v xml:space="preserve">Сталь листовая оцинкованная толщиной листа: 0,55 мм
т
</v>
      </c>
      <c r="D132" s="46">
        <v>0.88700000000000001</v>
      </c>
      <c r="E132" s="49">
        <v>10484</v>
      </c>
      <c r="F132" s="49"/>
      <c r="G132" s="49">
        <v>10484</v>
      </c>
      <c r="H132" s="50" t="s">
        <v>329</v>
      </c>
      <c r="I132" s="51">
        <v>36443</v>
      </c>
      <c r="J132" s="49"/>
      <c r="K132" s="49"/>
      <c r="L132" s="49" t="str">
        <f>IF(0.887*10484=0," ",TEXT(,ROUND((0.887*10484*3.919),2)))</f>
        <v>36443,99</v>
      </c>
      <c r="M132" s="49"/>
      <c r="N132" s="49"/>
      <c r="O132" s="52"/>
      <c r="P132" s="52"/>
      <c r="Q132" s="52"/>
      <c r="R132" s="52"/>
      <c r="S132" s="52"/>
      <c r="T132" s="53"/>
      <c r="U132" s="53"/>
      <c r="V132" s="53"/>
      <c r="W132" s="53"/>
      <c r="X132" s="53"/>
      <c r="Y132" s="53"/>
      <c r="Z132" s="53"/>
      <c r="AA132" s="53"/>
      <c r="AB132" s="53"/>
      <c r="AC132" s="53"/>
      <c r="AD132" s="53"/>
      <c r="AE132" s="53"/>
      <c r="AF132" s="53" t="s">
        <v>330</v>
      </c>
      <c r="AG132" s="53" t="s">
        <v>301</v>
      </c>
      <c r="AH132" s="53"/>
      <c r="AI132" s="53">
        <f>0+0</f>
        <v>0</v>
      </c>
    </row>
    <row r="133" spans="1:35" ht="114.75" x14ac:dyDescent="0.2">
      <c r="A133" s="46">
        <v>89</v>
      </c>
      <c r="B133" s="47" t="s">
        <v>430</v>
      </c>
      <c r="C133" s="48" t="str">
        <f t="shared" ca="1" si="4"/>
        <v xml:space="preserve">Установка зонтов над шахтами из листовой стали прямоугольного сечения периметром : 4000 мм
1 зонт
7238 руб. НР 98%=128%*(0,85*0,9) от ФОТ (7386 руб.)
4136 руб.СП 56%=83%*(0,8*0,85) от ФОТ (7386 руб.)
</v>
      </c>
      <c r="D133" s="46">
        <v>12</v>
      </c>
      <c r="E133" s="49" t="s">
        <v>431</v>
      </c>
      <c r="F133" s="49" t="s">
        <v>432</v>
      </c>
      <c r="G133" s="49">
        <v>8.49</v>
      </c>
      <c r="H133" s="50" t="s">
        <v>433</v>
      </c>
      <c r="I133" s="51">
        <v>8799</v>
      </c>
      <c r="J133" s="49">
        <v>7337</v>
      </c>
      <c r="K133" s="49" t="s">
        <v>434</v>
      </c>
      <c r="L133" s="49" t="str">
        <f>IF(12*8.49=0," ",TEXT(,ROUND((12*8.49*5.89),2)))</f>
        <v>600,07</v>
      </c>
      <c r="M133" s="49" t="s">
        <v>435</v>
      </c>
      <c r="N133" s="49" t="s">
        <v>436</v>
      </c>
      <c r="O133" s="52"/>
      <c r="P133" s="52"/>
      <c r="Q133" s="52"/>
      <c r="R133" s="52"/>
      <c r="S133" s="52"/>
      <c r="T133" s="53"/>
      <c r="U133" s="53"/>
      <c r="V133" s="53"/>
      <c r="W133" s="53"/>
      <c r="X133" s="53"/>
      <c r="Y133" s="53"/>
      <c r="Z133" s="53"/>
      <c r="AA133" s="53" t="s">
        <v>437</v>
      </c>
      <c r="AB133" s="53" t="s">
        <v>438</v>
      </c>
      <c r="AC133" s="53">
        <v>7238</v>
      </c>
      <c r="AD133" s="53">
        <v>4136</v>
      </c>
      <c r="AE133" s="53"/>
      <c r="AF133" s="53" t="s">
        <v>439</v>
      </c>
      <c r="AG133" s="53" t="s">
        <v>440</v>
      </c>
      <c r="AH133" s="53"/>
      <c r="AI133" s="53">
        <f>7337+49</f>
        <v>7386</v>
      </c>
    </row>
    <row r="134" spans="1:35" ht="76.5" x14ac:dyDescent="0.2">
      <c r="A134" s="56">
        <v>90</v>
      </c>
      <c r="B134" s="57" t="s">
        <v>441</v>
      </c>
      <c r="C134" s="58" t="str">
        <f t="shared" ca="1" si="4"/>
        <v xml:space="preserve">Зонты вентиляционных систем из листовой оцинкованной стали: прямоугольные, периметром шахты 4000 мм
шт.
</v>
      </c>
      <c r="D134" s="56">
        <v>12</v>
      </c>
      <c r="E134" s="59">
        <v>656.4</v>
      </c>
      <c r="F134" s="59"/>
      <c r="G134" s="59">
        <v>656.4</v>
      </c>
      <c r="H134" s="60" t="s">
        <v>442</v>
      </c>
      <c r="I134" s="61">
        <v>41315</v>
      </c>
      <c r="J134" s="59"/>
      <c r="K134" s="59"/>
      <c r="L134" s="59" t="str">
        <f>IF(12*656.4=0," ",TEXT(,ROUND((12*656.4*5.245),2)))</f>
        <v>41313,82</v>
      </c>
      <c r="M134" s="59"/>
      <c r="N134" s="59"/>
      <c r="O134" s="52"/>
      <c r="P134" s="52"/>
      <c r="Q134" s="52"/>
      <c r="R134" s="52"/>
      <c r="S134" s="52"/>
      <c r="T134" s="53"/>
      <c r="U134" s="53"/>
      <c r="V134" s="53"/>
      <c r="W134" s="53"/>
      <c r="X134" s="53"/>
      <c r="Y134" s="53"/>
      <c r="Z134" s="53"/>
      <c r="AA134" s="53"/>
      <c r="AB134" s="53"/>
      <c r="AC134" s="53"/>
      <c r="AD134" s="53"/>
      <c r="AE134" s="53"/>
      <c r="AF134" s="53" t="s">
        <v>443</v>
      </c>
      <c r="AG134" s="53" t="s">
        <v>217</v>
      </c>
      <c r="AH134" s="53"/>
      <c r="AI134" s="53">
        <f>0+0</f>
        <v>0</v>
      </c>
    </row>
    <row r="135" spans="1:35" ht="25.5" x14ac:dyDescent="0.2">
      <c r="A135" s="70" t="s">
        <v>118</v>
      </c>
      <c r="B135" s="65"/>
      <c r="C135" s="65"/>
      <c r="D135" s="65"/>
      <c r="E135" s="65"/>
      <c r="F135" s="65"/>
      <c r="G135" s="65"/>
      <c r="H135" s="65"/>
      <c r="I135" s="51">
        <v>28656</v>
      </c>
      <c r="J135" s="49">
        <v>2876</v>
      </c>
      <c r="K135" s="49" t="s">
        <v>444</v>
      </c>
      <c r="L135" s="49">
        <v>24671</v>
      </c>
      <c r="M135" s="49"/>
      <c r="N135" s="49" t="s">
        <v>445</v>
      </c>
      <c r="O135" s="18"/>
      <c r="P135" s="19"/>
      <c r="Q135" s="18"/>
      <c r="R135" s="18"/>
      <c r="S135" s="18"/>
    </row>
    <row r="136" spans="1:35" ht="25.5" x14ac:dyDescent="0.2">
      <c r="A136" s="70" t="s">
        <v>220</v>
      </c>
      <c r="B136" s="65"/>
      <c r="C136" s="65"/>
      <c r="D136" s="65"/>
      <c r="E136" s="65"/>
      <c r="F136" s="65"/>
      <c r="G136" s="65"/>
      <c r="H136" s="65"/>
      <c r="I136" s="51">
        <v>29365</v>
      </c>
      <c r="J136" s="49">
        <v>3307</v>
      </c>
      <c r="K136" s="49" t="s">
        <v>446</v>
      </c>
      <c r="L136" s="49">
        <v>24671</v>
      </c>
      <c r="M136" s="49"/>
      <c r="N136" s="49" t="s">
        <v>447</v>
      </c>
      <c r="O136" s="18"/>
      <c r="P136" s="19"/>
      <c r="Q136" s="18"/>
      <c r="R136" s="18"/>
      <c r="S136" s="18"/>
    </row>
    <row r="137" spans="1:35" x14ac:dyDescent="0.2">
      <c r="A137" s="70" t="s">
        <v>223</v>
      </c>
      <c r="B137" s="65"/>
      <c r="C137" s="65"/>
      <c r="D137" s="65"/>
      <c r="E137" s="65"/>
      <c r="F137" s="65"/>
      <c r="G137" s="65"/>
      <c r="H137" s="65"/>
      <c r="I137" s="51"/>
      <c r="J137" s="49"/>
      <c r="K137" s="49"/>
      <c r="L137" s="49"/>
      <c r="M137" s="49"/>
      <c r="N137" s="49"/>
      <c r="O137" s="18"/>
      <c r="P137" s="19"/>
      <c r="Q137" s="18"/>
      <c r="R137" s="18"/>
      <c r="S137" s="18"/>
    </row>
    <row r="138" spans="1:35" ht="27.95" customHeight="1" x14ac:dyDescent="0.2">
      <c r="A138" s="70" t="s">
        <v>448</v>
      </c>
      <c r="B138" s="65"/>
      <c r="C138" s="65"/>
      <c r="D138" s="65"/>
      <c r="E138" s="65"/>
      <c r="F138" s="65"/>
      <c r="G138" s="65"/>
      <c r="H138" s="65"/>
      <c r="I138" s="51">
        <v>709</v>
      </c>
      <c r="J138" s="49">
        <v>431</v>
      </c>
      <c r="K138" s="49" t="s">
        <v>449</v>
      </c>
      <c r="L138" s="49"/>
      <c r="M138" s="49"/>
      <c r="N138" s="49" t="s">
        <v>450</v>
      </c>
      <c r="O138" s="18"/>
      <c r="P138" s="19"/>
      <c r="Q138" s="18"/>
      <c r="R138" s="18"/>
      <c r="S138" s="18"/>
    </row>
    <row r="139" spans="1:35" ht="25.5" x14ac:dyDescent="0.2">
      <c r="A139" s="70" t="s">
        <v>121</v>
      </c>
      <c r="B139" s="65"/>
      <c r="C139" s="65"/>
      <c r="D139" s="65"/>
      <c r="E139" s="65"/>
      <c r="F139" s="65"/>
      <c r="G139" s="65"/>
      <c r="H139" s="65"/>
      <c r="I139" s="51">
        <v>179729</v>
      </c>
      <c r="J139" s="49">
        <v>54400</v>
      </c>
      <c r="K139" s="49" t="s">
        <v>451</v>
      </c>
      <c r="L139" s="49">
        <v>114162</v>
      </c>
      <c r="M139" s="49"/>
      <c r="N139" s="49" t="s">
        <v>447</v>
      </c>
      <c r="O139" s="18"/>
      <c r="P139" s="19"/>
      <c r="Q139" s="18"/>
      <c r="R139" s="18"/>
      <c r="S139" s="18"/>
    </row>
    <row r="140" spans="1:35" x14ac:dyDescent="0.2">
      <c r="A140" s="70" t="s">
        <v>123</v>
      </c>
      <c r="B140" s="65"/>
      <c r="C140" s="65"/>
      <c r="D140" s="65"/>
      <c r="E140" s="65"/>
      <c r="F140" s="65"/>
      <c r="G140" s="65"/>
      <c r="H140" s="65"/>
      <c r="I140" s="51">
        <v>43915</v>
      </c>
      <c r="J140" s="49"/>
      <c r="K140" s="49"/>
      <c r="L140" s="49"/>
      <c r="M140" s="49"/>
      <c r="N140" s="49"/>
      <c r="O140" s="18"/>
      <c r="P140" s="19"/>
      <c r="Q140" s="18"/>
      <c r="R140" s="18"/>
      <c r="S140" s="18"/>
    </row>
    <row r="141" spans="1:35" x14ac:dyDescent="0.2">
      <c r="A141" s="70" t="s">
        <v>124</v>
      </c>
      <c r="B141" s="65"/>
      <c r="C141" s="65"/>
      <c r="D141" s="65"/>
      <c r="E141" s="65"/>
      <c r="F141" s="65"/>
      <c r="G141" s="65"/>
      <c r="H141" s="65"/>
      <c r="I141" s="51">
        <v>26570</v>
      </c>
      <c r="J141" s="49"/>
      <c r="K141" s="49"/>
      <c r="L141" s="49"/>
      <c r="M141" s="49"/>
      <c r="N141" s="49"/>
      <c r="O141" s="18"/>
      <c r="P141" s="19"/>
      <c r="Q141" s="18"/>
      <c r="R141" s="18"/>
      <c r="S141" s="18"/>
    </row>
    <row r="142" spans="1:35" ht="25.5" x14ac:dyDescent="0.2">
      <c r="A142" s="71" t="s">
        <v>452</v>
      </c>
      <c r="B142" s="72"/>
      <c r="C142" s="72"/>
      <c r="D142" s="72"/>
      <c r="E142" s="72"/>
      <c r="F142" s="72"/>
      <c r="G142" s="72"/>
      <c r="H142" s="72"/>
      <c r="I142" s="61">
        <v>250214</v>
      </c>
      <c r="J142" s="59"/>
      <c r="K142" s="59"/>
      <c r="L142" s="59"/>
      <c r="M142" s="59"/>
      <c r="N142" s="59" t="s">
        <v>447</v>
      </c>
      <c r="O142" s="18"/>
      <c r="P142" s="19"/>
      <c r="Q142" s="18"/>
      <c r="R142" s="18"/>
      <c r="S142" s="18"/>
    </row>
    <row r="143" spans="1:35" ht="21" customHeight="1" x14ac:dyDescent="0.2">
      <c r="A143" s="68" t="s">
        <v>453</v>
      </c>
      <c r="B143" s="69"/>
      <c r="C143" s="69"/>
      <c r="D143" s="69"/>
      <c r="E143" s="69"/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69"/>
      <c r="U143" s="69"/>
      <c r="V143" s="69"/>
      <c r="W143" s="69"/>
      <c r="X143" s="69"/>
      <c r="Y143" s="69"/>
      <c r="Z143" s="69"/>
      <c r="AA143" s="69"/>
      <c r="AB143" s="69"/>
      <c r="AC143" s="69"/>
      <c r="AD143" s="69"/>
      <c r="AE143" s="69"/>
      <c r="AF143" s="69"/>
      <c r="AG143" s="69"/>
      <c r="AH143" s="69"/>
      <c r="AI143" s="69"/>
    </row>
    <row r="144" spans="1:35" ht="127.5" x14ac:dyDescent="0.2">
      <c r="A144" s="46">
        <v>91</v>
      </c>
      <c r="B144" s="47" t="s">
        <v>454</v>
      </c>
      <c r="C144" s="48" t="str">
        <f t="shared" ref="C144:C154" ca="1" si="5">INDIRECT("AF"&amp;ROW())&amp;CHAR(10)&amp;INDIRECT("AG"&amp;ROW())&amp;IF(INDIRECT("AE"&amp;ROW())="", "", CHAR(10)&amp;INDIRECT("AE"&amp;ROW()))&amp;IF(INDIRECT("AC"&amp;ROW())="", "", CHAR(10)&amp;INDIRECT("AC"&amp;ROW())&amp;" руб. "&amp;INDIRECT("AA"&amp;ROW())&amp;" ("&amp;INDIRECT("AI"&amp;ROW())&amp;" руб.)")&amp;IF(INDIRECT("AD"&amp;ROW())="", "", CHAR(10)&amp;INDIRECT("AD"&amp;ROW())&amp;" руб."&amp;INDIRECT("AB"&amp;ROW())&amp;" ("&amp;INDIRECT("AI"&amp;ROW())&amp;" руб.)")&amp;CHAR(10)&amp;CHAR(10)</f>
        <v xml:space="preserve">Прокладка трубопроводов канализации из полиэтиленовых труб высокой плотности диаметром: 110 мм
100 м трубопровода
5788 руб. НР 98%=128%*(0,85*0,9) от ФОТ (5906 руб.)
3307 руб.СП 56%=83%*(0,8*0,85) от ФОТ (5906 руб.)
</v>
      </c>
      <c r="D144" s="46" t="s">
        <v>455</v>
      </c>
      <c r="E144" s="49" t="s">
        <v>456</v>
      </c>
      <c r="F144" s="49" t="s">
        <v>457</v>
      </c>
      <c r="G144" s="49">
        <v>7166.84</v>
      </c>
      <c r="H144" s="50" t="s">
        <v>458</v>
      </c>
      <c r="I144" s="51">
        <v>17429</v>
      </c>
      <c r="J144" s="49">
        <v>5906</v>
      </c>
      <c r="K144" s="49">
        <v>46</v>
      </c>
      <c r="L144" s="49" t="str">
        <f>IF(0.51*7166.84=0," ",TEXT(,ROUND((0.51*7166.84*3.14),2)))</f>
        <v>11476,98</v>
      </c>
      <c r="M144" s="49" t="s">
        <v>459</v>
      </c>
      <c r="N144" s="49" t="s">
        <v>460</v>
      </c>
      <c r="O144" s="52"/>
      <c r="P144" s="52"/>
      <c r="Q144" s="52"/>
      <c r="R144" s="52"/>
      <c r="S144" s="52"/>
      <c r="T144" s="53"/>
      <c r="U144" s="53"/>
      <c r="V144" s="53"/>
      <c r="W144" s="53"/>
      <c r="X144" s="53"/>
      <c r="Y144" s="53"/>
      <c r="Z144" s="53"/>
      <c r="AA144" s="53" t="s">
        <v>437</v>
      </c>
      <c r="AB144" s="53" t="s">
        <v>438</v>
      </c>
      <c r="AC144" s="53">
        <v>5788</v>
      </c>
      <c r="AD144" s="53">
        <v>3307</v>
      </c>
      <c r="AE144" s="53"/>
      <c r="AF144" s="53" t="s">
        <v>461</v>
      </c>
      <c r="AG144" s="53" t="s">
        <v>462</v>
      </c>
      <c r="AH144" s="53"/>
      <c r="AI144" s="53">
        <f>5906+0</f>
        <v>5906</v>
      </c>
    </row>
    <row r="145" spans="1:35" ht="114.75" x14ac:dyDescent="0.2">
      <c r="A145" s="46">
        <v>92</v>
      </c>
      <c r="B145" s="47" t="s">
        <v>463</v>
      </c>
      <c r="C145" s="48" t="str">
        <f t="shared" ca="1" si="5"/>
        <v xml:space="preserve">Установка пароизоляционного слоя из: пленки полиэтиленовой (без стекловолокнистых материалов)
100 м2 поверхности покрытия изоляции
304 руб. НР 77%=100%*(0,85*0,9) от ФОТ (395 руб.)
190 руб.СП 48%=70%*(0,8*0,85) от ФОТ (395 руб.)
</v>
      </c>
      <c r="D145" s="46" t="s">
        <v>464</v>
      </c>
      <c r="E145" s="49" t="s">
        <v>465</v>
      </c>
      <c r="F145" s="49">
        <v>21.79</v>
      </c>
      <c r="G145" s="49">
        <v>1385.68</v>
      </c>
      <c r="H145" s="50" t="s">
        <v>466</v>
      </c>
      <c r="I145" s="51">
        <v>892</v>
      </c>
      <c r="J145" s="49">
        <v>395</v>
      </c>
      <c r="K145" s="49">
        <v>57</v>
      </c>
      <c r="L145" s="49" t="str">
        <f>IF(0.1656*1385.68=0," ",TEXT(,ROUND((0.1656*1385.68*1.92),2)))</f>
        <v>440,58</v>
      </c>
      <c r="M145" s="49">
        <v>14.36</v>
      </c>
      <c r="N145" s="49">
        <v>2.38</v>
      </c>
      <c r="O145" s="52"/>
      <c r="P145" s="52"/>
      <c r="Q145" s="52"/>
      <c r="R145" s="52"/>
      <c r="S145" s="52"/>
      <c r="T145" s="53"/>
      <c r="U145" s="53"/>
      <c r="V145" s="53"/>
      <c r="W145" s="53"/>
      <c r="X145" s="53"/>
      <c r="Y145" s="53"/>
      <c r="Z145" s="53"/>
      <c r="AA145" s="53" t="s">
        <v>418</v>
      </c>
      <c r="AB145" s="53" t="s">
        <v>34</v>
      </c>
      <c r="AC145" s="53">
        <v>304</v>
      </c>
      <c r="AD145" s="53">
        <v>190</v>
      </c>
      <c r="AE145" s="53"/>
      <c r="AF145" s="53" t="s">
        <v>467</v>
      </c>
      <c r="AG145" s="53" t="s">
        <v>426</v>
      </c>
      <c r="AH145" s="53"/>
      <c r="AI145" s="53">
        <f>395+0</f>
        <v>395</v>
      </c>
    </row>
    <row r="146" spans="1:35" ht="63.75" x14ac:dyDescent="0.2">
      <c r="A146" s="46">
        <v>93</v>
      </c>
      <c r="B146" s="47" t="s">
        <v>468</v>
      </c>
      <c r="C146" s="48" t="str">
        <f t="shared" ca="1" si="5"/>
        <v xml:space="preserve">Пленка полиэтиленовая толщиной: 0,2-0,5 мм, изоловая
м2
</v>
      </c>
      <c r="D146" s="46" t="s">
        <v>469</v>
      </c>
      <c r="E146" s="49">
        <v>4.82</v>
      </c>
      <c r="F146" s="49"/>
      <c r="G146" s="49">
        <v>4.82</v>
      </c>
      <c r="H146" s="50" t="s">
        <v>470</v>
      </c>
      <c r="I146" s="51">
        <v>-115</v>
      </c>
      <c r="J146" s="49"/>
      <c r="K146" s="49"/>
      <c r="L146" s="49" t="str">
        <f>IF(-19.404*4.82=0," ",TEXT(,ROUND((-19.404*4.82*1.221),2)))</f>
        <v>-114,2</v>
      </c>
      <c r="M146" s="49"/>
      <c r="N146" s="49"/>
      <c r="O146" s="52"/>
      <c r="P146" s="52"/>
      <c r="Q146" s="52"/>
      <c r="R146" s="52"/>
      <c r="S146" s="52"/>
      <c r="T146" s="53"/>
      <c r="U146" s="53"/>
      <c r="V146" s="53"/>
      <c r="W146" s="53"/>
      <c r="X146" s="53"/>
      <c r="Y146" s="53"/>
      <c r="Z146" s="53"/>
      <c r="AA146" s="53"/>
      <c r="AB146" s="53"/>
      <c r="AC146" s="53"/>
      <c r="AD146" s="53"/>
      <c r="AE146" s="53"/>
      <c r="AF146" s="53" t="s">
        <v>471</v>
      </c>
      <c r="AG146" s="53" t="s">
        <v>145</v>
      </c>
      <c r="AH146" s="53"/>
      <c r="AI146" s="53">
        <f>0+0</f>
        <v>0</v>
      </c>
    </row>
    <row r="147" spans="1:35" ht="63.75" x14ac:dyDescent="0.2">
      <c r="A147" s="46">
        <v>94</v>
      </c>
      <c r="B147" s="47" t="s">
        <v>146</v>
      </c>
      <c r="C147" s="48" t="str">
        <f t="shared" ca="1" si="5"/>
        <v xml:space="preserve">Изоспан: Двухслойная паропроницаемая мембрана марки В 13,90/5,58=2,49
м2
</v>
      </c>
      <c r="D147" s="46" t="s">
        <v>472</v>
      </c>
      <c r="E147" s="49">
        <v>2.4900000000000002</v>
      </c>
      <c r="F147" s="49"/>
      <c r="G147" s="49">
        <v>2.4900000000000002</v>
      </c>
      <c r="H147" s="50" t="s">
        <v>147</v>
      </c>
      <c r="I147" s="51">
        <v>268</v>
      </c>
      <c r="J147" s="49"/>
      <c r="K147" s="49"/>
      <c r="L147" s="49" t="str">
        <f>IF(19.404*2.49=0," ",TEXT(,ROUND((19.404*2.49*5.58),2)))</f>
        <v>269,6</v>
      </c>
      <c r="M147" s="49"/>
      <c r="N147" s="49"/>
      <c r="O147" s="52"/>
      <c r="P147" s="52"/>
      <c r="Q147" s="52"/>
      <c r="R147" s="52"/>
      <c r="S147" s="52"/>
      <c r="T147" s="53"/>
      <c r="U147" s="53"/>
      <c r="V147" s="53"/>
      <c r="W147" s="53"/>
      <c r="X147" s="53"/>
      <c r="Y147" s="53"/>
      <c r="Z147" s="53"/>
      <c r="AA147" s="53"/>
      <c r="AB147" s="53"/>
      <c r="AC147" s="53"/>
      <c r="AD147" s="53"/>
      <c r="AE147" s="53"/>
      <c r="AF147" s="53" t="s">
        <v>473</v>
      </c>
      <c r="AG147" s="53" t="s">
        <v>145</v>
      </c>
      <c r="AH147" s="53"/>
      <c r="AI147" s="53">
        <f>0+0</f>
        <v>0</v>
      </c>
    </row>
    <row r="148" spans="1:35" ht="140.25" x14ac:dyDescent="0.2">
      <c r="A148" s="46">
        <v>95</v>
      </c>
      <c r="B148" s="47" t="s">
        <v>474</v>
      </c>
      <c r="C148" s="48" t="str">
        <f t="shared" ca="1" si="5"/>
        <v xml:space="preserve">Обертывание поверхности изоляции рулонными материалами насухо с проклейкой швов
100 м2 поверхности покрытия изоляции
КОЭФ. К ПОЗИЦИИ:
материалы МАТ=0 к расх.
1330 руб. НР 77%=100%*(0,85*0,9) от ФОТ (1727 руб.)
829 руб.СП 48%=70%*(0,8*0,85) от ФОТ (1727 руб.)
</v>
      </c>
      <c r="D148" s="46">
        <v>0.33100000000000002</v>
      </c>
      <c r="E148" s="49" t="s">
        <v>475</v>
      </c>
      <c r="F148" s="49">
        <v>50.59</v>
      </c>
      <c r="G148" s="49"/>
      <c r="H148" s="50" t="s">
        <v>476</v>
      </c>
      <c r="I148" s="51">
        <v>1945</v>
      </c>
      <c r="J148" s="49">
        <v>1727</v>
      </c>
      <c r="K148" s="49">
        <v>218</v>
      </c>
      <c r="L148" s="49" t="str">
        <f>IF(0.331*0=0," ",TEXT(,ROUND((0.331*0*9.73),2)))</f>
        <v xml:space="preserve"> </v>
      </c>
      <c r="M148" s="49">
        <v>31.98</v>
      </c>
      <c r="N148" s="49">
        <v>10.59</v>
      </c>
      <c r="O148" s="52"/>
      <c r="P148" s="52"/>
      <c r="Q148" s="52"/>
      <c r="R148" s="52"/>
      <c r="S148" s="52"/>
      <c r="T148" s="53"/>
      <c r="U148" s="53"/>
      <c r="V148" s="53"/>
      <c r="W148" s="53"/>
      <c r="X148" s="53"/>
      <c r="Y148" s="53"/>
      <c r="Z148" s="53"/>
      <c r="AA148" s="53" t="s">
        <v>418</v>
      </c>
      <c r="AB148" s="53" t="s">
        <v>34</v>
      </c>
      <c r="AC148" s="53">
        <v>1330</v>
      </c>
      <c r="AD148" s="53">
        <v>829</v>
      </c>
      <c r="AE148" s="55" t="s">
        <v>156</v>
      </c>
      <c r="AF148" s="53" t="s">
        <v>477</v>
      </c>
      <c r="AG148" s="53" t="s">
        <v>426</v>
      </c>
      <c r="AH148" s="53"/>
      <c r="AI148" s="53">
        <f>1727+0</f>
        <v>1727</v>
      </c>
    </row>
    <row r="149" spans="1:35" ht="63.75" x14ac:dyDescent="0.2">
      <c r="A149" s="46">
        <v>96</v>
      </c>
      <c r="B149" s="47" t="s">
        <v>478</v>
      </c>
      <c r="C149" s="48" t="str">
        <f t="shared" ca="1" si="5"/>
        <v xml:space="preserve">Утеплитель URSA: М 15, толщиной 50 мм 64,28/5,58=11,52
м2
</v>
      </c>
      <c r="D149" s="46" t="s">
        <v>479</v>
      </c>
      <c r="E149" s="49">
        <v>11.52</v>
      </c>
      <c r="F149" s="49"/>
      <c r="G149" s="49">
        <v>11.52</v>
      </c>
      <c r="H149" s="50" t="s">
        <v>147</v>
      </c>
      <c r="I149" s="51">
        <v>4386</v>
      </c>
      <c r="J149" s="49"/>
      <c r="K149" s="49"/>
      <c r="L149" s="49" t="str">
        <f>IF(68.186*11.52=0," ",TEXT(,ROUND((68.186*11.52*5.58),2)))</f>
        <v>4383,11</v>
      </c>
      <c r="M149" s="49"/>
      <c r="N149" s="49"/>
      <c r="O149" s="52"/>
      <c r="P149" s="52"/>
      <c r="Q149" s="52"/>
      <c r="R149" s="52"/>
      <c r="S149" s="52"/>
      <c r="T149" s="53"/>
      <c r="U149" s="53"/>
      <c r="V149" s="53"/>
      <c r="W149" s="53"/>
      <c r="X149" s="53"/>
      <c r="Y149" s="53"/>
      <c r="Z149" s="53"/>
      <c r="AA149" s="53"/>
      <c r="AB149" s="53"/>
      <c r="AC149" s="53"/>
      <c r="AD149" s="53"/>
      <c r="AE149" s="53"/>
      <c r="AF149" s="53" t="s">
        <v>480</v>
      </c>
      <c r="AG149" s="53" t="s">
        <v>145</v>
      </c>
      <c r="AH149" s="53"/>
      <c r="AI149" s="53">
        <f>0+0</f>
        <v>0</v>
      </c>
    </row>
    <row r="150" spans="1:35" ht="165.75" x14ac:dyDescent="0.2">
      <c r="A150" s="46">
        <v>97</v>
      </c>
      <c r="B150" s="47" t="s">
        <v>481</v>
      </c>
      <c r="C150" s="48" t="str">
        <f t="shared" ca="1" si="5"/>
        <v xml:space="preserve">Обертывание поверхности изоляции рулонными материалами насухо с проклейкой швов
100 м2 поверхности покрытия изоляции
КОЭФ. К ПОЗИЦИИ:
материалы МАТ=0 к расх.;
За 2 раза ПЗ=2 (ОЗП=2; ЭМ=2 к расх.; ЗПМ=2; МАТ=2 к расх.; ТЗ=2; ТЗМ=2)
2660 руб. НР 77%=100%*(0,85*0,9) от ФОТ (3455 руб.)
1658 руб.СП 48%=70%*(0,8*0,85) от ФОТ (3455 руб.)
</v>
      </c>
      <c r="D150" s="46">
        <v>0.33160000000000001</v>
      </c>
      <c r="E150" s="49" t="s">
        <v>482</v>
      </c>
      <c r="F150" s="49">
        <v>101.18</v>
      </c>
      <c r="G150" s="49"/>
      <c r="H150" s="50" t="s">
        <v>476</v>
      </c>
      <c r="I150" s="51">
        <v>3902</v>
      </c>
      <c r="J150" s="49">
        <v>3455</v>
      </c>
      <c r="K150" s="49">
        <v>447</v>
      </c>
      <c r="L150" s="49" t="str">
        <f>IF(0.3316*0=0," ",TEXT(,ROUND((0.3316*0*9.73),2)))</f>
        <v xml:space="preserve"> </v>
      </c>
      <c r="M150" s="49">
        <v>63.96</v>
      </c>
      <c r="N150" s="49">
        <v>21.21</v>
      </c>
      <c r="O150" s="52"/>
      <c r="P150" s="52"/>
      <c r="Q150" s="52"/>
      <c r="R150" s="52"/>
      <c r="S150" s="52"/>
      <c r="T150" s="53"/>
      <c r="U150" s="53"/>
      <c r="V150" s="53"/>
      <c r="W150" s="53"/>
      <c r="X150" s="53"/>
      <c r="Y150" s="53"/>
      <c r="Z150" s="53"/>
      <c r="AA150" s="53" t="s">
        <v>418</v>
      </c>
      <c r="AB150" s="53" t="s">
        <v>34</v>
      </c>
      <c r="AC150" s="53">
        <v>2660</v>
      </c>
      <c r="AD150" s="53">
        <v>1658</v>
      </c>
      <c r="AE150" s="55" t="s">
        <v>483</v>
      </c>
      <c r="AF150" s="53" t="s">
        <v>477</v>
      </c>
      <c r="AG150" s="53" t="s">
        <v>426</v>
      </c>
      <c r="AH150" s="53"/>
      <c r="AI150" s="53">
        <f>3455+0</f>
        <v>3455</v>
      </c>
    </row>
    <row r="151" spans="1:35" ht="51" x14ac:dyDescent="0.2">
      <c r="A151" s="46">
        <v>98</v>
      </c>
      <c r="B151" s="47" t="s">
        <v>484</v>
      </c>
      <c r="C151" s="48" t="str">
        <f t="shared" ca="1" si="5"/>
        <v xml:space="preserve">Ткань стеклянная конструкционная марки: Т-13
1000 м2
</v>
      </c>
      <c r="D151" s="46">
        <v>7.2999999999999995E-2</v>
      </c>
      <c r="E151" s="49">
        <v>15914</v>
      </c>
      <c r="F151" s="49"/>
      <c r="G151" s="49">
        <v>15914</v>
      </c>
      <c r="H151" s="50" t="s">
        <v>485</v>
      </c>
      <c r="I151" s="51">
        <v>2574</v>
      </c>
      <c r="J151" s="49"/>
      <c r="K151" s="49"/>
      <c r="L151" s="49" t="str">
        <f>IF(0.073*15914=0," ",TEXT(,ROUND((0.073*15914*2.215),2)))</f>
        <v>2573,21</v>
      </c>
      <c r="M151" s="49"/>
      <c r="N151" s="49"/>
      <c r="O151" s="52"/>
      <c r="P151" s="52"/>
      <c r="Q151" s="52"/>
      <c r="R151" s="52"/>
      <c r="S151" s="52"/>
      <c r="T151" s="53"/>
      <c r="U151" s="53"/>
      <c r="V151" s="53"/>
      <c r="W151" s="53"/>
      <c r="X151" s="53"/>
      <c r="Y151" s="53"/>
      <c r="Z151" s="53"/>
      <c r="AA151" s="53"/>
      <c r="AB151" s="53"/>
      <c r="AC151" s="53"/>
      <c r="AD151" s="53"/>
      <c r="AE151" s="53"/>
      <c r="AF151" s="53" t="s">
        <v>486</v>
      </c>
      <c r="AG151" s="53" t="s">
        <v>487</v>
      </c>
      <c r="AH151" s="53"/>
      <c r="AI151" s="53">
        <f>0+0</f>
        <v>0</v>
      </c>
    </row>
    <row r="152" spans="1:35" ht="127.5" x14ac:dyDescent="0.2">
      <c r="A152" s="46">
        <v>99</v>
      </c>
      <c r="B152" s="47" t="s">
        <v>422</v>
      </c>
      <c r="C152" s="48" t="str">
        <f t="shared" ca="1" si="5"/>
        <v xml:space="preserve">Покрытие изоляции плоских (криволинейных) поверхностей листовым металлом с заготовкой покрытия
100 м2 поверхности покрытия изоляции
9145 руб. НР 77%=100%*(0,85*0,9) от ФОТ (11877 руб.)
5701 руб.СП 48%=70%*(0,8*0,85) от ФОТ (11877 руб.)
</v>
      </c>
      <c r="D152" s="46">
        <v>0.49640000000000001</v>
      </c>
      <c r="E152" s="49" t="s">
        <v>423</v>
      </c>
      <c r="F152" s="49">
        <v>578.44000000000005</v>
      </c>
      <c r="G152" s="49">
        <v>8515.41</v>
      </c>
      <c r="H152" s="50" t="s">
        <v>424</v>
      </c>
      <c r="I152" s="51">
        <v>30389</v>
      </c>
      <c r="J152" s="49">
        <v>11877</v>
      </c>
      <c r="K152" s="49">
        <v>2872</v>
      </c>
      <c r="L152" s="49" t="str">
        <f>IF(0.4964*8515.41=0," ",TEXT(,ROUND((0.4964*8515.41*3.7),2)))</f>
        <v>15640,08</v>
      </c>
      <c r="M152" s="49">
        <v>139.55000000000001</v>
      </c>
      <c r="N152" s="49">
        <v>69.27</v>
      </c>
      <c r="O152" s="52"/>
      <c r="P152" s="52"/>
      <c r="Q152" s="52"/>
      <c r="R152" s="52"/>
      <c r="S152" s="52"/>
      <c r="T152" s="53"/>
      <c r="U152" s="53"/>
      <c r="V152" s="53"/>
      <c r="W152" s="53"/>
      <c r="X152" s="53"/>
      <c r="Y152" s="53"/>
      <c r="Z152" s="53"/>
      <c r="AA152" s="53" t="s">
        <v>418</v>
      </c>
      <c r="AB152" s="53" t="s">
        <v>34</v>
      </c>
      <c r="AC152" s="53">
        <v>9145</v>
      </c>
      <c r="AD152" s="53">
        <v>5701</v>
      </c>
      <c r="AE152" s="53"/>
      <c r="AF152" s="53" t="s">
        <v>425</v>
      </c>
      <c r="AG152" s="53" t="s">
        <v>426</v>
      </c>
      <c r="AH152" s="53"/>
      <c r="AI152" s="53">
        <f>11877+0</f>
        <v>11877</v>
      </c>
    </row>
    <row r="153" spans="1:35" ht="63.75" x14ac:dyDescent="0.2">
      <c r="A153" s="46">
        <v>100</v>
      </c>
      <c r="B153" s="47" t="s">
        <v>427</v>
      </c>
      <c r="C153" s="48" t="str">
        <f t="shared" ca="1" si="5"/>
        <v xml:space="preserve">Сталь листовая оцинкованная толщиной листа: 0,8 мм
т
</v>
      </c>
      <c r="D153" s="46">
        <v>-0.38169999999999998</v>
      </c>
      <c r="E153" s="49">
        <v>11000</v>
      </c>
      <c r="F153" s="49"/>
      <c r="G153" s="49">
        <v>11000</v>
      </c>
      <c r="H153" s="50" t="s">
        <v>428</v>
      </c>
      <c r="I153" s="51">
        <v>-15591</v>
      </c>
      <c r="J153" s="49"/>
      <c r="K153" s="49"/>
      <c r="L153" s="49" t="str">
        <f>IF(-0.3817*11000=0," ",TEXT(,ROUND((-0.3817*11000*3.713),2)))</f>
        <v>-15589,77</v>
      </c>
      <c r="M153" s="49"/>
      <c r="N153" s="49"/>
      <c r="O153" s="52"/>
      <c r="P153" s="52"/>
      <c r="Q153" s="52"/>
      <c r="R153" s="52"/>
      <c r="S153" s="52"/>
      <c r="T153" s="53"/>
      <c r="U153" s="53"/>
      <c r="V153" s="53"/>
      <c r="W153" s="53"/>
      <c r="X153" s="53"/>
      <c r="Y153" s="53"/>
      <c r="Z153" s="53"/>
      <c r="AA153" s="53"/>
      <c r="AB153" s="53"/>
      <c r="AC153" s="53"/>
      <c r="AD153" s="53"/>
      <c r="AE153" s="53"/>
      <c r="AF153" s="53" t="s">
        <v>429</v>
      </c>
      <c r="AG153" s="53" t="s">
        <v>301</v>
      </c>
      <c r="AH153" s="53"/>
      <c r="AI153" s="53">
        <f>0+0</f>
        <v>0</v>
      </c>
    </row>
    <row r="154" spans="1:35" ht="63.75" x14ac:dyDescent="0.2">
      <c r="A154" s="56">
        <v>101</v>
      </c>
      <c r="B154" s="57" t="s">
        <v>328</v>
      </c>
      <c r="C154" s="58" t="str">
        <f t="shared" ca="1" si="5"/>
        <v xml:space="preserve">Сталь листовая оцинкованная толщиной листа: 0,55 мм
т
</v>
      </c>
      <c r="D154" s="56">
        <v>0.26200000000000001</v>
      </c>
      <c r="E154" s="59">
        <v>10484</v>
      </c>
      <c r="F154" s="59"/>
      <c r="G154" s="59">
        <v>10484</v>
      </c>
      <c r="H154" s="60" t="s">
        <v>329</v>
      </c>
      <c r="I154" s="61">
        <v>10765</v>
      </c>
      <c r="J154" s="59"/>
      <c r="K154" s="59"/>
      <c r="L154" s="59" t="str">
        <f>IF(0.262*10484=0," ",TEXT(,ROUND((0.262*10484*3.919),2)))</f>
        <v>10764,74</v>
      </c>
      <c r="M154" s="59"/>
      <c r="N154" s="59"/>
      <c r="O154" s="52"/>
      <c r="P154" s="52"/>
      <c r="Q154" s="52"/>
      <c r="R154" s="52"/>
      <c r="S154" s="52"/>
      <c r="T154" s="53"/>
      <c r="U154" s="53"/>
      <c r="V154" s="53"/>
      <c r="W154" s="53"/>
      <c r="X154" s="53"/>
      <c r="Y154" s="53"/>
      <c r="Z154" s="53"/>
      <c r="AA154" s="53"/>
      <c r="AB154" s="53"/>
      <c r="AC154" s="53"/>
      <c r="AD154" s="53"/>
      <c r="AE154" s="53"/>
      <c r="AF154" s="53" t="s">
        <v>330</v>
      </c>
      <c r="AG154" s="53" t="s">
        <v>301</v>
      </c>
      <c r="AH154" s="53"/>
      <c r="AI154" s="53">
        <f>0+0</f>
        <v>0</v>
      </c>
    </row>
    <row r="155" spans="1:35" ht="25.5" x14ac:dyDescent="0.2">
      <c r="A155" s="70" t="s">
        <v>118</v>
      </c>
      <c r="B155" s="65"/>
      <c r="C155" s="65"/>
      <c r="D155" s="65"/>
      <c r="E155" s="65"/>
      <c r="F155" s="65"/>
      <c r="G155" s="65"/>
      <c r="H155" s="65"/>
      <c r="I155" s="51">
        <v>10141</v>
      </c>
      <c r="J155" s="49">
        <v>1235</v>
      </c>
      <c r="K155" s="49">
        <v>345</v>
      </c>
      <c r="L155" s="49">
        <v>8561</v>
      </c>
      <c r="M155" s="49"/>
      <c r="N155" s="49" t="s">
        <v>488</v>
      </c>
      <c r="O155" s="18"/>
      <c r="P155" s="19"/>
      <c r="Q155" s="18"/>
      <c r="R155" s="18"/>
      <c r="S155" s="18"/>
    </row>
    <row r="156" spans="1:35" ht="25.5" x14ac:dyDescent="0.2">
      <c r="A156" s="70" t="s">
        <v>220</v>
      </c>
      <c r="B156" s="65"/>
      <c r="C156" s="65"/>
      <c r="D156" s="65"/>
      <c r="E156" s="65"/>
      <c r="F156" s="65"/>
      <c r="G156" s="65"/>
      <c r="H156" s="65"/>
      <c r="I156" s="51">
        <v>10413</v>
      </c>
      <c r="J156" s="49">
        <v>1420</v>
      </c>
      <c r="K156" s="49">
        <v>432</v>
      </c>
      <c r="L156" s="49">
        <v>8561</v>
      </c>
      <c r="M156" s="49"/>
      <c r="N156" s="49" t="s">
        <v>489</v>
      </c>
      <c r="O156" s="18"/>
      <c r="P156" s="19"/>
      <c r="Q156" s="18"/>
      <c r="R156" s="18"/>
      <c r="S156" s="18"/>
    </row>
    <row r="157" spans="1:35" x14ac:dyDescent="0.2">
      <c r="A157" s="70" t="s">
        <v>223</v>
      </c>
      <c r="B157" s="65"/>
      <c r="C157" s="65"/>
      <c r="D157" s="65"/>
      <c r="E157" s="65"/>
      <c r="F157" s="65"/>
      <c r="G157" s="65"/>
      <c r="H157" s="65"/>
      <c r="I157" s="51"/>
      <c r="J157" s="49"/>
      <c r="K157" s="49"/>
      <c r="L157" s="49"/>
      <c r="M157" s="49"/>
      <c r="N157" s="49"/>
      <c r="O157" s="18"/>
      <c r="P157" s="19"/>
      <c r="Q157" s="18"/>
      <c r="R157" s="18"/>
      <c r="S157" s="18"/>
    </row>
    <row r="158" spans="1:35" ht="27.95" customHeight="1" x14ac:dyDescent="0.2">
      <c r="A158" s="70" t="s">
        <v>490</v>
      </c>
      <c r="B158" s="65"/>
      <c r="C158" s="65"/>
      <c r="D158" s="65"/>
      <c r="E158" s="65"/>
      <c r="F158" s="65"/>
      <c r="G158" s="65"/>
      <c r="H158" s="65"/>
      <c r="I158" s="51">
        <v>272</v>
      </c>
      <c r="J158" s="49">
        <v>185</v>
      </c>
      <c r="K158" s="49">
        <v>86</v>
      </c>
      <c r="L158" s="49"/>
      <c r="M158" s="49"/>
      <c r="N158" s="49" t="s">
        <v>491</v>
      </c>
      <c r="O158" s="18"/>
      <c r="P158" s="19"/>
      <c r="Q158" s="18"/>
      <c r="R158" s="18"/>
      <c r="S158" s="18"/>
    </row>
    <row r="159" spans="1:35" ht="25.5" x14ac:dyDescent="0.2">
      <c r="A159" s="70" t="s">
        <v>121</v>
      </c>
      <c r="B159" s="65"/>
      <c r="C159" s="65"/>
      <c r="D159" s="65"/>
      <c r="E159" s="65"/>
      <c r="F159" s="65"/>
      <c r="G159" s="65"/>
      <c r="H159" s="65"/>
      <c r="I159" s="51">
        <v>56845</v>
      </c>
      <c r="J159" s="49">
        <v>23360</v>
      </c>
      <c r="K159" s="49">
        <v>3641</v>
      </c>
      <c r="L159" s="49">
        <v>29844</v>
      </c>
      <c r="M159" s="49"/>
      <c r="N159" s="49" t="s">
        <v>489</v>
      </c>
      <c r="O159" s="18"/>
      <c r="P159" s="19"/>
      <c r="Q159" s="18"/>
      <c r="R159" s="18"/>
      <c r="S159" s="18"/>
    </row>
    <row r="160" spans="1:35" x14ac:dyDescent="0.2">
      <c r="A160" s="70" t="s">
        <v>123</v>
      </c>
      <c r="B160" s="65"/>
      <c r="C160" s="65"/>
      <c r="D160" s="65"/>
      <c r="E160" s="65"/>
      <c r="F160" s="65"/>
      <c r="G160" s="65"/>
      <c r="H160" s="65"/>
      <c r="I160" s="51">
        <v>19228</v>
      </c>
      <c r="J160" s="49"/>
      <c r="K160" s="49"/>
      <c r="L160" s="49"/>
      <c r="M160" s="49"/>
      <c r="N160" s="49"/>
      <c r="O160" s="18"/>
      <c r="P160" s="19"/>
      <c r="Q160" s="18"/>
      <c r="R160" s="18"/>
      <c r="S160" s="18"/>
    </row>
    <row r="161" spans="1:35" x14ac:dyDescent="0.2">
      <c r="A161" s="70" t="s">
        <v>124</v>
      </c>
      <c r="B161" s="65"/>
      <c r="C161" s="65"/>
      <c r="D161" s="65"/>
      <c r="E161" s="65"/>
      <c r="F161" s="65"/>
      <c r="G161" s="65"/>
      <c r="H161" s="65"/>
      <c r="I161" s="51">
        <v>11685</v>
      </c>
      <c r="J161" s="49"/>
      <c r="K161" s="49"/>
      <c r="L161" s="49"/>
      <c r="M161" s="49"/>
      <c r="N161" s="49"/>
      <c r="O161" s="18"/>
      <c r="P161" s="19"/>
      <c r="Q161" s="18"/>
      <c r="R161" s="18"/>
      <c r="S161" s="18"/>
    </row>
    <row r="162" spans="1:35" ht="25.5" x14ac:dyDescent="0.2">
      <c r="A162" s="71" t="s">
        <v>492</v>
      </c>
      <c r="B162" s="72"/>
      <c r="C162" s="72"/>
      <c r="D162" s="72"/>
      <c r="E162" s="72"/>
      <c r="F162" s="72"/>
      <c r="G162" s="72"/>
      <c r="H162" s="72"/>
      <c r="I162" s="61">
        <v>87758</v>
      </c>
      <c r="J162" s="59"/>
      <c r="K162" s="59"/>
      <c r="L162" s="59"/>
      <c r="M162" s="59"/>
      <c r="N162" s="59" t="s">
        <v>489</v>
      </c>
      <c r="O162" s="18"/>
      <c r="P162" s="19"/>
      <c r="Q162" s="18"/>
      <c r="R162" s="18"/>
      <c r="S162" s="18"/>
    </row>
    <row r="163" spans="1:35" ht="21" customHeight="1" x14ac:dyDescent="0.2">
      <c r="A163" s="68" t="s">
        <v>493</v>
      </c>
      <c r="B163" s="69"/>
      <c r="C163" s="69"/>
      <c r="D163" s="69"/>
      <c r="E163" s="69"/>
      <c r="F163" s="69"/>
      <c r="G163" s="69"/>
      <c r="H163" s="69"/>
      <c r="I163" s="69"/>
      <c r="J163" s="69"/>
      <c r="K163" s="69"/>
      <c r="L163" s="69"/>
      <c r="M163" s="69"/>
      <c r="N163" s="69"/>
      <c r="O163" s="69"/>
      <c r="P163" s="69"/>
      <c r="Q163" s="69"/>
      <c r="R163" s="69"/>
      <c r="S163" s="69"/>
      <c r="T163" s="69"/>
      <c r="U163" s="69"/>
      <c r="V163" s="69"/>
      <c r="W163" s="69"/>
      <c r="X163" s="69"/>
      <c r="Y163" s="69"/>
      <c r="Z163" s="69"/>
      <c r="AA163" s="69"/>
      <c r="AB163" s="69"/>
      <c r="AC163" s="69"/>
      <c r="AD163" s="69"/>
      <c r="AE163" s="69"/>
      <c r="AF163" s="69"/>
      <c r="AG163" s="69"/>
      <c r="AH163" s="69"/>
      <c r="AI163" s="69"/>
    </row>
    <row r="164" spans="1:35" ht="76.5" x14ac:dyDescent="0.2">
      <c r="A164" s="46">
        <v>102</v>
      </c>
      <c r="B164" s="47" t="s">
        <v>494</v>
      </c>
      <c r="C164" s="48" t="str">
        <f ca="1">INDIRECT("AF"&amp;ROW())&amp;CHAR(10)&amp;INDIRECT("AG"&amp;ROW())&amp;IF(INDIRECT("AE"&amp;ROW())="", "", CHAR(10)&amp;INDIRECT("AE"&amp;ROW()))&amp;IF(INDIRECT("AC"&amp;ROW())="", "", CHAR(10)&amp;INDIRECT("AC"&amp;ROW())&amp;" руб. "&amp;INDIRECT("AA"&amp;ROW())&amp;" ("&amp;INDIRECT("AI"&amp;ROW())&amp;" руб.)")&amp;IF(INDIRECT("AD"&amp;ROW())="", "", CHAR(10)&amp;INDIRECT("AD"&amp;ROW())&amp;" руб."&amp;INDIRECT("AB"&amp;ROW())&amp;" ("&amp;INDIRECT("AI"&amp;ROW())&amp;" руб.)")&amp;CHAR(10)&amp;CHAR(10)</f>
        <v xml:space="preserve">Погрузочные работы при автомобильных перевозках: мусора строительного с погрузкой вручную
1 т груза
</v>
      </c>
      <c r="D164" s="46">
        <v>10.6</v>
      </c>
      <c r="E164" s="49" t="s">
        <v>495</v>
      </c>
      <c r="F164" s="49"/>
      <c r="G164" s="49"/>
      <c r="H164" s="50" t="s">
        <v>496</v>
      </c>
      <c r="I164" s="51">
        <v>4852</v>
      </c>
      <c r="J164" s="49">
        <v>4852</v>
      </c>
      <c r="K164" s="49"/>
      <c r="L164" s="49" t="str">
        <f>IF(10.6*0=0," ",TEXT(,ROUND((10.6*0*1),2)))</f>
        <v xml:space="preserve"> </v>
      </c>
      <c r="M164" s="49"/>
      <c r="N164" s="49"/>
      <c r="O164" s="52"/>
      <c r="P164" s="52"/>
      <c r="Q164" s="52"/>
      <c r="R164" s="52"/>
      <c r="S164" s="52"/>
      <c r="T164" s="53"/>
      <c r="U164" s="53"/>
      <c r="V164" s="53"/>
      <c r="W164" s="53"/>
      <c r="X164" s="53"/>
      <c r="Y164" s="53"/>
      <c r="Z164" s="53"/>
      <c r="AA164" s="53" t="s">
        <v>497</v>
      </c>
      <c r="AB164" s="53" t="s">
        <v>498</v>
      </c>
      <c r="AC164" s="53"/>
      <c r="AD164" s="53"/>
      <c r="AE164" s="53"/>
      <c r="AF164" s="53" t="s">
        <v>499</v>
      </c>
      <c r="AG164" s="53" t="s">
        <v>500</v>
      </c>
      <c r="AH164" s="53"/>
      <c r="AI164" s="53">
        <f>4852+0</f>
        <v>4852</v>
      </c>
    </row>
    <row r="165" spans="1:35" ht="76.5" x14ac:dyDescent="0.2">
      <c r="A165" s="46">
        <v>103</v>
      </c>
      <c r="B165" s="47" t="s">
        <v>501</v>
      </c>
      <c r="C165" s="48" t="str">
        <f ca="1">INDIRECT("AF"&amp;ROW())&amp;CHAR(10)&amp;INDIRECT("AG"&amp;ROW())&amp;IF(INDIRECT("AE"&amp;ROW())="", "", CHAR(10)&amp;INDIRECT("AE"&amp;ROW()))&amp;IF(INDIRECT("AC"&amp;ROW())="", "", CHAR(10)&amp;INDIRECT("AC"&amp;ROW())&amp;" руб. "&amp;INDIRECT("AA"&amp;ROW())&amp;" ("&amp;INDIRECT("AI"&amp;ROW())&amp;" руб.)")&amp;IF(INDIRECT("AD"&amp;ROW())="", "", CHAR(10)&amp;INDIRECT("AD"&amp;ROW())&amp;" руб."&amp;INDIRECT("AB"&amp;ROW())&amp;" ("&amp;INDIRECT("AI"&amp;ROW())&amp;" руб.)")&amp;CHAR(10)&amp;CHAR(10)</f>
        <v xml:space="preserve">Погрузочные работы при автомобильных перевозках: мусора строительного с погрузкой экскаваторами емкостью ковша до 0,5 м3
1 т груза
</v>
      </c>
      <c r="D165" s="46">
        <v>95.4</v>
      </c>
      <c r="E165" s="49">
        <v>3.28</v>
      </c>
      <c r="F165" s="49">
        <v>3.28</v>
      </c>
      <c r="G165" s="49"/>
      <c r="H165" s="50" t="s">
        <v>502</v>
      </c>
      <c r="I165" s="51">
        <v>3618</v>
      </c>
      <c r="J165" s="49"/>
      <c r="K165" s="49">
        <v>3618</v>
      </c>
      <c r="L165" s="49" t="str">
        <f>IF(95.4*0=0," ",TEXT(,ROUND((95.4*0*1),2)))</f>
        <v xml:space="preserve"> </v>
      </c>
      <c r="M165" s="49"/>
      <c r="N165" s="49"/>
      <c r="O165" s="52"/>
      <c r="P165" s="52"/>
      <c r="Q165" s="52"/>
      <c r="R165" s="52"/>
      <c r="S165" s="52"/>
      <c r="T165" s="53"/>
      <c r="U165" s="53"/>
      <c r="V165" s="53"/>
      <c r="W165" s="53"/>
      <c r="X165" s="53"/>
      <c r="Y165" s="53"/>
      <c r="Z165" s="53"/>
      <c r="AA165" s="53" t="s">
        <v>497</v>
      </c>
      <c r="AB165" s="53" t="s">
        <v>498</v>
      </c>
      <c r="AC165" s="53"/>
      <c r="AD165" s="53"/>
      <c r="AE165" s="53"/>
      <c r="AF165" s="53" t="s">
        <v>503</v>
      </c>
      <c r="AG165" s="53" t="s">
        <v>500</v>
      </c>
      <c r="AH165" s="53"/>
      <c r="AI165" s="53">
        <f>0+0</f>
        <v>0</v>
      </c>
    </row>
    <row r="166" spans="1:35" ht="88.5" customHeight="1" x14ac:dyDescent="0.2">
      <c r="A166" s="56">
        <v>104</v>
      </c>
      <c r="B166" s="57" t="s">
        <v>504</v>
      </c>
      <c r="C166" s="58" t="str">
        <f ca="1">INDIRECT("AF"&amp;ROW())&amp;CHAR(10)&amp;INDIRECT("AG"&amp;ROW())&amp;IF(INDIRECT("AE"&amp;ROW())="", "", CHAR(10)&amp;INDIRECT("AE"&amp;ROW()))&amp;IF(INDIRECT("AC"&amp;ROW())="", "", CHAR(10)&amp;INDIRECT("AC"&amp;ROW())&amp;" руб. "&amp;INDIRECT("AA"&amp;ROW())&amp;" ("&amp;INDIRECT("AI"&amp;ROW())&amp;" руб.)")&amp;IF(INDIRECT("AD"&amp;ROW())="", "", CHAR(10)&amp;INDIRECT("AD"&amp;ROW())&amp;" руб."&amp;INDIRECT("AB"&amp;ROW())&amp;" ("&amp;INDIRECT("AI"&amp;ROW())&amp;" руб.)")&amp;CHAR(10)&amp;CHAR(10)</f>
        <v xml:space="preserve">Перевозка грузов автомобилями-самосвалами грузоподъемностью 10 т, работающих вне карьера, на расстояние: до 5 км I класс груза
1 т груза
</v>
      </c>
      <c r="D166" s="56">
        <v>106</v>
      </c>
      <c r="E166" s="59">
        <v>6.69</v>
      </c>
      <c r="F166" s="59">
        <v>6.69</v>
      </c>
      <c r="G166" s="59"/>
      <c r="H166" s="60" t="s">
        <v>505</v>
      </c>
      <c r="I166" s="61">
        <v>6785</v>
      </c>
      <c r="J166" s="59"/>
      <c r="K166" s="59">
        <v>6785</v>
      </c>
      <c r="L166" s="59" t="str">
        <f>IF(106*0=0," ",TEXT(,ROUND((106*0*1),2)))</f>
        <v xml:space="preserve"> </v>
      </c>
      <c r="M166" s="59"/>
      <c r="N166" s="59"/>
      <c r="O166" s="52"/>
      <c r="P166" s="52"/>
      <c r="Q166" s="52"/>
      <c r="R166" s="52"/>
      <c r="S166" s="52"/>
      <c r="T166" s="53"/>
      <c r="U166" s="53"/>
      <c r="V166" s="53"/>
      <c r="W166" s="53"/>
      <c r="X166" s="53"/>
      <c r="Y166" s="53"/>
      <c r="Z166" s="53"/>
      <c r="AA166" s="53" t="s">
        <v>161</v>
      </c>
      <c r="AB166" s="53" t="s">
        <v>162</v>
      </c>
      <c r="AC166" s="53"/>
      <c r="AD166" s="53"/>
      <c r="AE166" s="53"/>
      <c r="AF166" s="53" t="s">
        <v>506</v>
      </c>
      <c r="AG166" s="53" t="s">
        <v>500</v>
      </c>
      <c r="AH166" s="53"/>
      <c r="AI166" s="53">
        <f>0+0</f>
        <v>0</v>
      </c>
    </row>
    <row r="167" spans="1:35" x14ac:dyDescent="0.2">
      <c r="A167" s="70" t="s">
        <v>118</v>
      </c>
      <c r="B167" s="65"/>
      <c r="C167" s="65"/>
      <c r="D167" s="65"/>
      <c r="E167" s="65"/>
      <c r="F167" s="65"/>
      <c r="G167" s="65"/>
      <c r="H167" s="65"/>
      <c r="I167" s="51">
        <v>1478</v>
      </c>
      <c r="J167" s="49">
        <v>456</v>
      </c>
      <c r="K167" s="49">
        <v>1022</v>
      </c>
      <c r="L167" s="49"/>
      <c r="M167" s="49"/>
      <c r="N167" s="49"/>
      <c r="O167" s="18"/>
      <c r="P167" s="19"/>
      <c r="Q167" s="18"/>
      <c r="R167" s="18"/>
      <c r="S167" s="18"/>
    </row>
    <row r="168" spans="1:35" x14ac:dyDescent="0.2">
      <c r="A168" s="70" t="s">
        <v>121</v>
      </c>
      <c r="B168" s="65"/>
      <c r="C168" s="65"/>
      <c r="D168" s="65"/>
      <c r="E168" s="65"/>
      <c r="F168" s="65"/>
      <c r="G168" s="65"/>
      <c r="H168" s="65"/>
      <c r="I168" s="51">
        <v>15255</v>
      </c>
      <c r="J168" s="49">
        <v>4852</v>
      </c>
      <c r="K168" s="49">
        <v>10403</v>
      </c>
      <c r="L168" s="49"/>
      <c r="M168" s="49"/>
      <c r="N168" s="49"/>
      <c r="O168" s="18"/>
      <c r="P168" s="19"/>
      <c r="Q168" s="18"/>
      <c r="R168" s="18"/>
      <c r="S168" s="18"/>
    </row>
    <row r="169" spans="1:35" x14ac:dyDescent="0.2">
      <c r="A169" s="71" t="s">
        <v>507</v>
      </c>
      <c r="B169" s="72"/>
      <c r="C169" s="72"/>
      <c r="D169" s="72"/>
      <c r="E169" s="72"/>
      <c r="F169" s="72"/>
      <c r="G169" s="72"/>
      <c r="H169" s="72"/>
      <c r="I169" s="61">
        <v>15255</v>
      </c>
      <c r="J169" s="59"/>
      <c r="K169" s="59"/>
      <c r="L169" s="59"/>
      <c r="M169" s="59"/>
      <c r="N169" s="59"/>
      <c r="O169" s="18"/>
      <c r="P169" s="19"/>
      <c r="Q169" s="18"/>
      <c r="R169" s="18"/>
      <c r="S169" s="18"/>
    </row>
    <row r="170" spans="1:35" ht="25.5" x14ac:dyDescent="0.2">
      <c r="A170" s="64" t="s">
        <v>508</v>
      </c>
      <c r="B170" s="65"/>
      <c r="C170" s="65"/>
      <c r="D170" s="65"/>
      <c r="E170" s="65"/>
      <c r="F170" s="65"/>
      <c r="G170" s="65"/>
      <c r="H170" s="65"/>
      <c r="I170" s="62">
        <v>460464</v>
      </c>
      <c r="J170" s="62">
        <v>38174</v>
      </c>
      <c r="K170" s="62" t="s">
        <v>509</v>
      </c>
      <c r="L170" s="62">
        <v>412000</v>
      </c>
      <c r="M170" s="62"/>
      <c r="N170" s="62" t="s">
        <v>510</v>
      </c>
      <c r="O170" s="18"/>
      <c r="P170" s="19"/>
      <c r="Q170" s="18"/>
      <c r="R170" s="18"/>
      <c r="S170" s="18"/>
    </row>
    <row r="171" spans="1:35" ht="25.5" x14ac:dyDescent="0.2">
      <c r="A171" s="64" t="s">
        <v>511</v>
      </c>
      <c r="B171" s="65"/>
      <c r="C171" s="65"/>
      <c r="D171" s="65"/>
      <c r="E171" s="65"/>
      <c r="F171" s="65"/>
      <c r="G171" s="65"/>
      <c r="H171" s="65"/>
      <c r="I171" s="62">
        <v>466686</v>
      </c>
      <c r="J171" s="62">
        <v>42465</v>
      </c>
      <c r="K171" s="62" t="s">
        <v>512</v>
      </c>
      <c r="L171" s="62">
        <v>412000</v>
      </c>
      <c r="M171" s="62"/>
      <c r="N171" s="62" t="s">
        <v>513</v>
      </c>
      <c r="O171" s="18"/>
      <c r="P171" s="19"/>
      <c r="Q171" s="18"/>
      <c r="R171" s="18"/>
      <c r="S171" s="18"/>
    </row>
    <row r="172" spans="1:35" ht="25.5" x14ac:dyDescent="0.2">
      <c r="A172" s="64" t="s">
        <v>514</v>
      </c>
      <c r="B172" s="65"/>
      <c r="C172" s="65"/>
      <c r="D172" s="65"/>
      <c r="E172" s="65"/>
      <c r="F172" s="65"/>
      <c r="G172" s="65"/>
      <c r="H172" s="65"/>
      <c r="I172" s="62">
        <v>2715712</v>
      </c>
      <c r="J172" s="62">
        <v>695900</v>
      </c>
      <c r="K172" s="62" t="s">
        <v>515</v>
      </c>
      <c r="L172" s="62">
        <v>1892811</v>
      </c>
      <c r="M172" s="62"/>
      <c r="N172" s="62" t="s">
        <v>513</v>
      </c>
      <c r="O172" s="18"/>
      <c r="P172" s="19"/>
      <c r="Q172" s="18"/>
      <c r="R172" s="18"/>
      <c r="S172" s="18"/>
    </row>
    <row r="173" spans="1:35" x14ac:dyDescent="0.2">
      <c r="A173" s="64" t="s">
        <v>123</v>
      </c>
      <c r="B173" s="65"/>
      <c r="C173" s="65"/>
      <c r="D173" s="65"/>
      <c r="E173" s="65"/>
      <c r="F173" s="65"/>
      <c r="G173" s="65"/>
      <c r="H173" s="65"/>
      <c r="I173" s="62">
        <v>603394</v>
      </c>
      <c r="J173" s="62"/>
      <c r="K173" s="62"/>
      <c r="L173" s="62"/>
      <c r="M173" s="62"/>
      <c r="N173" s="62"/>
      <c r="O173" s="18"/>
      <c r="P173" s="19"/>
      <c r="Q173" s="18"/>
      <c r="R173" s="18"/>
      <c r="S173" s="18"/>
    </row>
    <row r="174" spans="1:35" x14ac:dyDescent="0.2">
      <c r="A174" s="64" t="s">
        <v>124</v>
      </c>
      <c r="B174" s="65"/>
      <c r="C174" s="65"/>
      <c r="D174" s="65"/>
      <c r="E174" s="65"/>
      <c r="F174" s="65"/>
      <c r="G174" s="65"/>
      <c r="H174" s="65"/>
      <c r="I174" s="62">
        <v>321510</v>
      </c>
      <c r="J174" s="62"/>
      <c r="K174" s="62"/>
      <c r="L174" s="62"/>
      <c r="M174" s="62"/>
      <c r="N174" s="62"/>
      <c r="O174" s="18"/>
      <c r="P174" s="19"/>
      <c r="Q174" s="18"/>
      <c r="R174" s="18"/>
      <c r="S174" s="18"/>
    </row>
    <row r="175" spans="1:35" x14ac:dyDescent="0.2">
      <c r="A175" s="66" t="s">
        <v>516</v>
      </c>
      <c r="B175" s="67"/>
      <c r="C175" s="67"/>
      <c r="D175" s="67"/>
      <c r="E175" s="67"/>
      <c r="F175" s="67"/>
      <c r="G175" s="67"/>
      <c r="H175" s="67"/>
      <c r="I175" s="62"/>
      <c r="J175" s="62"/>
      <c r="K175" s="62"/>
      <c r="L175" s="62"/>
      <c r="M175" s="62"/>
      <c r="N175" s="62"/>
      <c r="O175" s="18"/>
      <c r="P175" s="19"/>
      <c r="Q175" s="18"/>
      <c r="R175" s="18"/>
      <c r="S175" s="18"/>
    </row>
    <row r="176" spans="1:35" ht="25.5" x14ac:dyDescent="0.2">
      <c r="A176" s="64" t="s">
        <v>517</v>
      </c>
      <c r="B176" s="65"/>
      <c r="C176" s="65"/>
      <c r="D176" s="65"/>
      <c r="E176" s="65"/>
      <c r="F176" s="65"/>
      <c r="G176" s="65"/>
      <c r="H176" s="65"/>
      <c r="I176" s="62">
        <v>50190</v>
      </c>
      <c r="J176" s="62"/>
      <c r="K176" s="62"/>
      <c r="L176" s="62"/>
      <c r="M176" s="62"/>
      <c r="N176" s="62" t="s">
        <v>518</v>
      </c>
      <c r="O176" s="18"/>
      <c r="P176" s="19"/>
      <c r="Q176" s="18"/>
      <c r="R176" s="18"/>
      <c r="S176" s="18"/>
    </row>
    <row r="177" spans="1:19" ht="25.5" x14ac:dyDescent="0.2">
      <c r="A177" s="64" t="s">
        <v>519</v>
      </c>
      <c r="B177" s="65"/>
      <c r="C177" s="65"/>
      <c r="D177" s="65"/>
      <c r="E177" s="65"/>
      <c r="F177" s="65"/>
      <c r="G177" s="65"/>
      <c r="H177" s="65"/>
      <c r="I177" s="62">
        <v>437313</v>
      </c>
      <c r="J177" s="62"/>
      <c r="K177" s="62"/>
      <c r="L177" s="62"/>
      <c r="M177" s="62"/>
      <c r="N177" s="62" t="s">
        <v>520</v>
      </c>
      <c r="O177" s="18"/>
      <c r="P177" s="19"/>
      <c r="Q177" s="18"/>
      <c r="R177" s="18"/>
      <c r="S177" s="18"/>
    </row>
    <row r="178" spans="1:19" ht="25.5" x14ac:dyDescent="0.2">
      <c r="A178" s="64" t="s">
        <v>521</v>
      </c>
      <c r="B178" s="65"/>
      <c r="C178" s="65"/>
      <c r="D178" s="65"/>
      <c r="E178" s="65"/>
      <c r="F178" s="65"/>
      <c r="G178" s="65"/>
      <c r="H178" s="65"/>
      <c r="I178" s="62">
        <v>1332571</v>
      </c>
      <c r="J178" s="62"/>
      <c r="K178" s="62"/>
      <c r="L178" s="62"/>
      <c r="M178" s="62"/>
      <c r="N178" s="62" t="s">
        <v>522</v>
      </c>
      <c r="O178" s="18"/>
      <c r="P178" s="19"/>
      <c r="Q178" s="18"/>
      <c r="R178" s="18"/>
      <c r="S178" s="18"/>
    </row>
    <row r="179" spans="1:19" x14ac:dyDescent="0.2">
      <c r="A179" s="64" t="s">
        <v>523</v>
      </c>
      <c r="B179" s="65"/>
      <c r="C179" s="65"/>
      <c r="D179" s="65"/>
      <c r="E179" s="65"/>
      <c r="F179" s="65"/>
      <c r="G179" s="65"/>
      <c r="H179" s="65"/>
      <c r="I179" s="62">
        <v>25874</v>
      </c>
      <c r="J179" s="62"/>
      <c r="K179" s="62"/>
      <c r="L179" s="62"/>
      <c r="M179" s="62"/>
      <c r="N179" s="62">
        <v>71.650000000000006</v>
      </c>
      <c r="O179" s="18"/>
      <c r="P179" s="19"/>
      <c r="Q179" s="18"/>
      <c r="R179" s="18"/>
      <c r="S179" s="18"/>
    </row>
    <row r="180" spans="1:19" ht="25.5" x14ac:dyDescent="0.2">
      <c r="A180" s="64" t="s">
        <v>524</v>
      </c>
      <c r="B180" s="65"/>
      <c r="C180" s="65"/>
      <c r="D180" s="65"/>
      <c r="E180" s="65"/>
      <c r="F180" s="65"/>
      <c r="G180" s="65"/>
      <c r="H180" s="65"/>
      <c r="I180" s="62">
        <v>16169</v>
      </c>
      <c r="J180" s="62"/>
      <c r="K180" s="62"/>
      <c r="L180" s="62"/>
      <c r="M180" s="62"/>
      <c r="N180" s="62" t="s">
        <v>105</v>
      </c>
      <c r="O180" s="18"/>
      <c r="P180" s="19"/>
      <c r="Q180" s="18"/>
      <c r="R180" s="18"/>
      <c r="S180" s="18"/>
    </row>
    <row r="181" spans="1:19" ht="25.5" x14ac:dyDescent="0.2">
      <c r="A181" s="64" t="s">
        <v>525</v>
      </c>
      <c r="B181" s="65"/>
      <c r="C181" s="65"/>
      <c r="D181" s="65"/>
      <c r="E181" s="65"/>
      <c r="F181" s="65"/>
      <c r="G181" s="65"/>
      <c r="H181" s="65"/>
      <c r="I181" s="62">
        <v>14615</v>
      </c>
      <c r="J181" s="62"/>
      <c r="K181" s="62"/>
      <c r="L181" s="62"/>
      <c r="M181" s="62"/>
      <c r="N181" s="62" t="s">
        <v>526</v>
      </c>
      <c r="O181" s="18"/>
      <c r="P181" s="19"/>
      <c r="Q181" s="18"/>
      <c r="R181" s="18"/>
      <c r="S181" s="18"/>
    </row>
    <row r="182" spans="1:19" x14ac:dyDescent="0.2">
      <c r="A182" s="64" t="s">
        <v>527</v>
      </c>
      <c r="B182" s="65"/>
      <c r="C182" s="65"/>
      <c r="D182" s="65"/>
      <c r="E182" s="65"/>
      <c r="F182" s="65"/>
      <c r="G182" s="65"/>
      <c r="H182" s="65"/>
      <c r="I182" s="62">
        <v>738698</v>
      </c>
      <c r="J182" s="62"/>
      <c r="K182" s="62"/>
      <c r="L182" s="62"/>
      <c r="M182" s="62"/>
      <c r="N182" s="62"/>
      <c r="O182" s="18"/>
      <c r="P182" s="19"/>
      <c r="Q182" s="18"/>
      <c r="R182" s="18"/>
      <c r="S182" s="18"/>
    </row>
    <row r="183" spans="1:19" x14ac:dyDescent="0.2">
      <c r="A183" s="64" t="s">
        <v>528</v>
      </c>
      <c r="B183" s="65"/>
      <c r="C183" s="65"/>
      <c r="D183" s="65"/>
      <c r="E183" s="65"/>
      <c r="F183" s="65"/>
      <c r="G183" s="65"/>
      <c r="H183" s="65"/>
      <c r="I183" s="62">
        <v>-7662</v>
      </c>
      <c r="J183" s="62"/>
      <c r="K183" s="62"/>
      <c r="L183" s="62"/>
      <c r="M183" s="62"/>
      <c r="N183" s="62"/>
      <c r="O183" s="18"/>
      <c r="P183" s="19"/>
      <c r="Q183" s="18"/>
      <c r="R183" s="18"/>
      <c r="S183" s="18"/>
    </row>
    <row r="184" spans="1:19" ht="25.5" x14ac:dyDescent="0.2">
      <c r="A184" s="64" t="s">
        <v>529</v>
      </c>
      <c r="B184" s="65"/>
      <c r="C184" s="65"/>
      <c r="D184" s="65"/>
      <c r="E184" s="65"/>
      <c r="F184" s="65"/>
      <c r="G184" s="65"/>
      <c r="H184" s="65"/>
      <c r="I184" s="62">
        <v>810034</v>
      </c>
      <c r="J184" s="62"/>
      <c r="K184" s="62"/>
      <c r="L184" s="62"/>
      <c r="M184" s="62"/>
      <c r="N184" s="62" t="s">
        <v>530</v>
      </c>
      <c r="O184" s="18"/>
      <c r="P184" s="19"/>
      <c r="Q184" s="18"/>
      <c r="R184" s="18"/>
      <c r="S184" s="18"/>
    </row>
    <row r="185" spans="1:19" ht="25.5" x14ac:dyDescent="0.2">
      <c r="A185" s="64" t="s">
        <v>531</v>
      </c>
      <c r="B185" s="65"/>
      <c r="C185" s="65"/>
      <c r="D185" s="65"/>
      <c r="E185" s="65"/>
      <c r="F185" s="65"/>
      <c r="G185" s="65"/>
      <c r="H185" s="65"/>
      <c r="I185" s="62">
        <v>8672</v>
      </c>
      <c r="J185" s="62"/>
      <c r="K185" s="62"/>
      <c r="L185" s="62"/>
      <c r="M185" s="62"/>
      <c r="N185" s="62" t="s">
        <v>532</v>
      </c>
      <c r="O185" s="18"/>
      <c r="P185" s="19"/>
      <c r="Q185" s="18"/>
      <c r="R185" s="18"/>
      <c r="S185" s="18"/>
    </row>
    <row r="186" spans="1:19" ht="25.5" x14ac:dyDescent="0.2">
      <c r="A186" s="64" t="s">
        <v>533</v>
      </c>
      <c r="B186" s="65"/>
      <c r="C186" s="65"/>
      <c r="D186" s="65"/>
      <c r="E186" s="65"/>
      <c r="F186" s="65"/>
      <c r="G186" s="65"/>
      <c r="H186" s="65"/>
      <c r="I186" s="62">
        <v>152189</v>
      </c>
      <c r="J186" s="62"/>
      <c r="K186" s="62"/>
      <c r="L186" s="62"/>
      <c r="M186" s="62"/>
      <c r="N186" s="62" t="s">
        <v>534</v>
      </c>
      <c r="O186" s="18"/>
      <c r="P186" s="19"/>
      <c r="Q186" s="18"/>
      <c r="R186" s="18"/>
      <c r="S186" s="18"/>
    </row>
    <row r="187" spans="1:19" ht="25.5" x14ac:dyDescent="0.2">
      <c r="A187" s="64" t="s">
        <v>535</v>
      </c>
      <c r="B187" s="65"/>
      <c r="C187" s="65"/>
      <c r="D187" s="65"/>
      <c r="E187" s="65"/>
      <c r="F187" s="65"/>
      <c r="G187" s="65"/>
      <c r="H187" s="65"/>
      <c r="I187" s="62">
        <v>46698</v>
      </c>
      <c r="J187" s="62"/>
      <c r="K187" s="62"/>
      <c r="L187" s="62"/>
      <c r="M187" s="62"/>
      <c r="N187" s="62" t="s">
        <v>536</v>
      </c>
      <c r="O187" s="18"/>
      <c r="P187" s="19"/>
      <c r="Q187" s="18"/>
      <c r="R187" s="18"/>
      <c r="S187" s="18"/>
    </row>
    <row r="188" spans="1:19" x14ac:dyDescent="0.2">
      <c r="A188" s="64" t="s">
        <v>537</v>
      </c>
      <c r="B188" s="65"/>
      <c r="C188" s="65"/>
      <c r="D188" s="65"/>
      <c r="E188" s="65"/>
      <c r="F188" s="65"/>
      <c r="G188" s="65"/>
      <c r="H188" s="65"/>
      <c r="I188" s="62">
        <v>8470</v>
      </c>
      <c r="J188" s="62"/>
      <c r="K188" s="62"/>
      <c r="L188" s="62"/>
      <c r="M188" s="62"/>
      <c r="N188" s="62"/>
      <c r="O188" s="18"/>
      <c r="P188" s="19"/>
      <c r="Q188" s="18"/>
      <c r="R188" s="18"/>
      <c r="S188" s="18"/>
    </row>
    <row r="189" spans="1:19" x14ac:dyDescent="0.2">
      <c r="A189" s="64" t="s">
        <v>538</v>
      </c>
      <c r="B189" s="65"/>
      <c r="C189" s="65"/>
      <c r="D189" s="65"/>
      <c r="E189" s="65"/>
      <c r="F189" s="65"/>
      <c r="G189" s="65"/>
      <c r="H189" s="65"/>
      <c r="I189" s="62">
        <v>6785</v>
      </c>
      <c r="J189" s="62"/>
      <c r="K189" s="62"/>
      <c r="L189" s="62"/>
      <c r="M189" s="62"/>
      <c r="N189" s="62"/>
      <c r="O189" s="18"/>
      <c r="P189" s="19"/>
      <c r="Q189" s="18"/>
      <c r="R189" s="18"/>
      <c r="S189" s="18"/>
    </row>
    <row r="190" spans="1:19" ht="25.5" x14ac:dyDescent="0.2">
      <c r="A190" s="64" t="s">
        <v>539</v>
      </c>
      <c r="B190" s="65"/>
      <c r="C190" s="65"/>
      <c r="D190" s="65"/>
      <c r="E190" s="65"/>
      <c r="F190" s="65"/>
      <c r="G190" s="65"/>
      <c r="H190" s="65"/>
      <c r="I190" s="62">
        <v>3640616</v>
      </c>
      <c r="J190" s="62"/>
      <c r="K190" s="62"/>
      <c r="L190" s="62"/>
      <c r="M190" s="62"/>
      <c r="N190" s="62" t="s">
        <v>513</v>
      </c>
      <c r="O190" s="18"/>
      <c r="P190" s="19"/>
      <c r="Q190" s="18"/>
      <c r="R190" s="18"/>
      <c r="S190" s="18"/>
    </row>
    <row r="191" spans="1:19" x14ac:dyDescent="0.2">
      <c r="A191" s="64" t="s">
        <v>540</v>
      </c>
      <c r="B191" s="65"/>
      <c r="C191" s="65"/>
      <c r="D191" s="65"/>
      <c r="E191" s="65"/>
      <c r="F191" s="65"/>
      <c r="G191" s="65"/>
      <c r="H191" s="65"/>
      <c r="I191" s="62"/>
      <c r="J191" s="62"/>
      <c r="K191" s="62"/>
      <c r="L191" s="62"/>
      <c r="M191" s="62"/>
      <c r="N191" s="62"/>
      <c r="O191" s="18"/>
      <c r="P191" s="19"/>
      <c r="Q191" s="18"/>
      <c r="R191" s="18"/>
      <c r="S191" s="18"/>
    </row>
    <row r="192" spans="1:19" x14ac:dyDescent="0.2">
      <c r="A192" s="64" t="s">
        <v>541</v>
      </c>
      <c r="B192" s="65"/>
      <c r="C192" s="65"/>
      <c r="D192" s="65"/>
      <c r="E192" s="65"/>
      <c r="F192" s="65"/>
      <c r="G192" s="65"/>
      <c r="H192" s="65"/>
      <c r="I192" s="62">
        <v>1892811</v>
      </c>
      <c r="J192" s="62"/>
      <c r="K192" s="62"/>
      <c r="L192" s="62"/>
      <c r="M192" s="62"/>
      <c r="N192" s="62"/>
      <c r="O192" s="18"/>
      <c r="P192" s="19"/>
      <c r="Q192" s="18"/>
      <c r="R192" s="18"/>
      <c r="S192" s="18"/>
    </row>
    <row r="193" spans="1:19" x14ac:dyDescent="0.2">
      <c r="A193" s="64" t="s">
        <v>542</v>
      </c>
      <c r="B193" s="65"/>
      <c r="C193" s="65"/>
      <c r="D193" s="65"/>
      <c r="E193" s="65"/>
      <c r="F193" s="65"/>
      <c r="G193" s="65"/>
      <c r="H193" s="65"/>
      <c r="I193" s="62">
        <v>126998</v>
      </c>
      <c r="J193" s="62"/>
      <c r="K193" s="62"/>
      <c r="L193" s="62"/>
      <c r="M193" s="62"/>
      <c r="N193" s="62"/>
      <c r="O193" s="18"/>
      <c r="P193" s="19"/>
      <c r="Q193" s="18"/>
      <c r="R193" s="18"/>
      <c r="S193" s="18"/>
    </row>
    <row r="194" spans="1:19" x14ac:dyDescent="0.2">
      <c r="A194" s="64" t="s">
        <v>543</v>
      </c>
      <c r="B194" s="65"/>
      <c r="C194" s="65"/>
      <c r="D194" s="65"/>
      <c r="E194" s="65"/>
      <c r="F194" s="65"/>
      <c r="G194" s="65"/>
      <c r="H194" s="65"/>
      <c r="I194" s="62">
        <v>707313</v>
      </c>
      <c r="J194" s="62"/>
      <c r="K194" s="62"/>
      <c r="L194" s="62"/>
      <c r="M194" s="62"/>
      <c r="N194" s="62"/>
      <c r="O194" s="18"/>
      <c r="P194" s="19"/>
      <c r="Q194" s="18"/>
      <c r="R194" s="18"/>
      <c r="S194" s="18"/>
    </row>
    <row r="195" spans="1:19" x14ac:dyDescent="0.2">
      <c r="A195" s="64" t="s">
        <v>544</v>
      </c>
      <c r="B195" s="65"/>
      <c r="C195" s="65"/>
      <c r="D195" s="65"/>
      <c r="E195" s="65"/>
      <c r="F195" s="65"/>
      <c r="G195" s="65"/>
      <c r="H195" s="65"/>
      <c r="I195" s="62">
        <v>603394</v>
      </c>
      <c r="J195" s="62"/>
      <c r="K195" s="62"/>
      <c r="L195" s="62"/>
      <c r="M195" s="62"/>
      <c r="N195" s="62"/>
      <c r="O195" s="18"/>
      <c r="P195" s="19"/>
      <c r="Q195" s="18"/>
      <c r="R195" s="18"/>
      <c r="S195" s="18"/>
    </row>
    <row r="196" spans="1:19" x14ac:dyDescent="0.2">
      <c r="A196" s="64" t="s">
        <v>545</v>
      </c>
      <c r="B196" s="65"/>
      <c r="C196" s="65"/>
      <c r="D196" s="65"/>
      <c r="E196" s="65"/>
      <c r="F196" s="65"/>
      <c r="G196" s="65"/>
      <c r="H196" s="65"/>
      <c r="I196" s="62">
        <v>321510</v>
      </c>
      <c r="J196" s="62"/>
      <c r="K196" s="62"/>
      <c r="L196" s="62"/>
      <c r="M196" s="62"/>
      <c r="N196" s="62"/>
      <c r="O196" s="18"/>
      <c r="P196" s="19"/>
      <c r="Q196" s="18"/>
      <c r="R196" s="18"/>
      <c r="S196" s="18"/>
    </row>
    <row r="197" spans="1:19" ht="25.5" x14ac:dyDescent="0.2">
      <c r="A197" s="66" t="s">
        <v>546</v>
      </c>
      <c r="B197" s="67"/>
      <c r="C197" s="67"/>
      <c r="D197" s="67"/>
      <c r="E197" s="67"/>
      <c r="F197" s="67"/>
      <c r="G197" s="67"/>
      <c r="H197" s="67"/>
      <c r="I197" s="62">
        <v>3640616</v>
      </c>
      <c r="J197" s="62"/>
      <c r="K197" s="62"/>
      <c r="L197" s="62"/>
      <c r="M197" s="62"/>
      <c r="N197" s="62" t="s">
        <v>513</v>
      </c>
      <c r="O197" s="18"/>
      <c r="P197" s="19"/>
      <c r="Q197" s="18"/>
      <c r="R197" s="18"/>
      <c r="S197" s="18"/>
    </row>
    <row r="198" spans="1:19" x14ac:dyDescent="0.2">
      <c r="A198" s="17"/>
      <c r="B198" s="39"/>
      <c r="C198" s="39"/>
      <c r="D198" s="17"/>
      <c r="E198" s="36"/>
      <c r="F198" s="36"/>
      <c r="G198" s="36"/>
      <c r="H198" s="36"/>
      <c r="I198" s="40"/>
      <c r="J198" s="36"/>
      <c r="K198" s="36"/>
      <c r="L198" s="36"/>
      <c r="M198" s="36"/>
      <c r="O198" s="5"/>
      <c r="P198" s="5"/>
      <c r="Q198" s="5"/>
      <c r="R198" s="5"/>
      <c r="S198" s="5"/>
    </row>
    <row r="199" spans="1:19" x14ac:dyDescent="0.2">
      <c r="A199" s="17"/>
      <c r="B199" s="39"/>
      <c r="C199" s="39"/>
      <c r="D199" s="17"/>
      <c r="E199" s="36"/>
      <c r="F199" s="36"/>
      <c r="G199" s="36"/>
      <c r="H199" s="36"/>
      <c r="I199" s="40"/>
      <c r="J199" s="36"/>
      <c r="K199" s="36"/>
      <c r="L199" s="36"/>
      <c r="M199" s="36"/>
    </row>
    <row r="200" spans="1:19" x14ac:dyDescent="0.2">
      <c r="A200" s="17"/>
      <c r="B200" s="39"/>
      <c r="C200" s="41" t="s">
        <v>549</v>
      </c>
      <c r="D200" s="17"/>
      <c r="E200" s="36"/>
      <c r="F200" s="41" t="s">
        <v>28</v>
      </c>
      <c r="G200" s="41"/>
      <c r="H200" s="41"/>
      <c r="I200" s="36"/>
      <c r="J200" s="36"/>
      <c r="K200" s="36"/>
      <c r="L200" s="36"/>
      <c r="M200" s="36"/>
    </row>
  </sheetData>
  <mergeCells count="93">
    <mergeCell ref="A20:AI20"/>
    <mergeCell ref="A33:H33"/>
    <mergeCell ref="A34:H34"/>
    <mergeCell ref="A4:C4"/>
    <mergeCell ref="I4:N4"/>
    <mergeCell ref="J17:J18"/>
    <mergeCell ref="L17:L18"/>
    <mergeCell ref="N17:N18"/>
    <mergeCell ref="A15:A18"/>
    <mergeCell ref="D15:D18"/>
    <mergeCell ref="C15:C18"/>
    <mergeCell ref="B15:B18"/>
    <mergeCell ref="A10:N10"/>
    <mergeCell ref="C11:E11"/>
    <mergeCell ref="D12:E12"/>
    <mergeCell ref="G17:G18"/>
    <mergeCell ref="M15:N16"/>
    <mergeCell ref="E15:G16"/>
    <mergeCell ref="I15:L16"/>
    <mergeCell ref="M17:M18"/>
    <mergeCell ref="H15:H18"/>
    <mergeCell ref="I17:I18"/>
    <mergeCell ref="A35:H35"/>
    <mergeCell ref="A36:H36"/>
    <mergeCell ref="A119:H119"/>
    <mergeCell ref="A38:AI38"/>
    <mergeCell ref="A59:H59"/>
    <mergeCell ref="A60:H60"/>
    <mergeCell ref="A61:H61"/>
    <mergeCell ref="A62:H62"/>
    <mergeCell ref="A63:H63"/>
    <mergeCell ref="A64:H64"/>
    <mergeCell ref="A65:H65"/>
    <mergeCell ref="A66:H66"/>
    <mergeCell ref="A67:AI67"/>
    <mergeCell ref="A118:H118"/>
    <mergeCell ref="A37:H37"/>
    <mergeCell ref="A139:H139"/>
    <mergeCell ref="A120:H120"/>
    <mergeCell ref="A121:H121"/>
    <mergeCell ref="A122:H122"/>
    <mergeCell ref="A123:H123"/>
    <mergeCell ref="A124:H124"/>
    <mergeCell ref="A125:H125"/>
    <mergeCell ref="A126:AI126"/>
    <mergeCell ref="A135:H135"/>
    <mergeCell ref="A136:H136"/>
    <mergeCell ref="A137:H137"/>
    <mergeCell ref="A138:H138"/>
    <mergeCell ref="A162:H162"/>
    <mergeCell ref="A140:H140"/>
    <mergeCell ref="A141:H141"/>
    <mergeCell ref="A142:H142"/>
    <mergeCell ref="A143:AI143"/>
    <mergeCell ref="A155:H155"/>
    <mergeCell ref="A156:H156"/>
    <mergeCell ref="A157:H157"/>
    <mergeCell ref="A158:H158"/>
    <mergeCell ref="A159:H159"/>
    <mergeCell ref="A160:H160"/>
    <mergeCell ref="A161:H161"/>
    <mergeCell ref="A177:H177"/>
    <mergeCell ref="A163:AI163"/>
    <mergeCell ref="A167:H167"/>
    <mergeCell ref="A168:H168"/>
    <mergeCell ref="A169:H169"/>
    <mergeCell ref="A170:H170"/>
    <mergeCell ref="A171:H171"/>
    <mergeCell ref="A172:H172"/>
    <mergeCell ref="A173:H173"/>
    <mergeCell ref="A174:H174"/>
    <mergeCell ref="A175:H175"/>
    <mergeCell ref="A176:H176"/>
    <mergeCell ref="A189:H189"/>
    <mergeCell ref="A178:H178"/>
    <mergeCell ref="A179:H179"/>
    <mergeCell ref="A180:H180"/>
    <mergeCell ref="A181:H181"/>
    <mergeCell ref="A182:H182"/>
    <mergeCell ref="A183:H183"/>
    <mergeCell ref="A184:H184"/>
    <mergeCell ref="A185:H185"/>
    <mergeCell ref="A186:H186"/>
    <mergeCell ref="A187:H187"/>
    <mergeCell ref="A188:H188"/>
    <mergeCell ref="A196:H196"/>
    <mergeCell ref="A197:H197"/>
    <mergeCell ref="A190:H190"/>
    <mergeCell ref="A191:H191"/>
    <mergeCell ref="A192:H192"/>
    <mergeCell ref="A193:H193"/>
    <mergeCell ref="A194:H194"/>
    <mergeCell ref="A195:H195"/>
  </mergeCells>
  <phoneticPr fontId="0" type="noConversion"/>
  <pageMargins left="0.23622047244094491" right="0.19685039370078741" top="0.35433070866141736" bottom="0.27559055118110237" header="0.27559055118110237" footer="0.19685039370078741"/>
  <pageSetup paperSize="9" scale="95" orientation="landscape" r:id="rId1"/>
  <headerFooter alignWithMargins="0"/>
  <colBreaks count="1" manualBreakCount="1">
    <brk id="14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Лок.См.Расч.Баз.-Инд.Методом</vt:lpstr>
      <vt:lpstr>'Лок.См.Расч.Баз.-Инд.Методом'!Заголовки_для_печати</vt:lpstr>
      <vt:lpstr>'Лок.См.Расч.Баз.-Инд.Методом'!Область_печати</vt:lpstr>
    </vt:vector>
  </TitlesOfParts>
  <Company>Grand Ltd.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kuzmina</dc:creator>
  <cp:lastModifiedBy>Цапко Лариса Александровна</cp:lastModifiedBy>
  <cp:lastPrinted>2011-11-29T05:51:06Z</cp:lastPrinted>
  <dcterms:created xsi:type="dcterms:W3CDTF">2003-01-28T12:33:10Z</dcterms:created>
  <dcterms:modified xsi:type="dcterms:W3CDTF">2016-02-11T08:41:36Z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именование гр рас">
    <vt:lpwstr>это и есть наим</vt:lpwstr>
  </property>
</Properties>
</file>