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18.02.16\сметы  окончательные Фрунзе 216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'Лок.См.Расч.Баз.-Инд.Методом'!$A$1:$N$231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206" i="5" l="1"/>
  <c r="AI206" i="5"/>
  <c r="L207" i="5"/>
  <c r="AI207" i="5"/>
  <c r="L208" i="5"/>
  <c r="AI208" i="5"/>
  <c r="L188" i="5"/>
  <c r="AI188" i="5"/>
  <c r="L189" i="5"/>
  <c r="AI189" i="5"/>
  <c r="L190" i="5"/>
  <c r="AI190" i="5"/>
  <c r="L191" i="5"/>
  <c r="AI191" i="5"/>
  <c r="L192" i="5"/>
  <c r="AI192" i="5"/>
  <c r="L193" i="5"/>
  <c r="AI193" i="5"/>
  <c r="L194" i="5"/>
  <c r="AI194" i="5"/>
  <c r="L195" i="5"/>
  <c r="AI195" i="5"/>
  <c r="L196" i="5"/>
  <c r="AI196" i="5"/>
  <c r="L197" i="5"/>
  <c r="AI197" i="5"/>
  <c r="L198" i="5"/>
  <c r="AI198" i="5"/>
  <c r="L199" i="5"/>
  <c r="AI199" i="5"/>
  <c r="L168" i="5"/>
  <c r="AI168" i="5"/>
  <c r="L169" i="5"/>
  <c r="AI169" i="5"/>
  <c r="L170" i="5"/>
  <c r="AI170" i="5"/>
  <c r="L171" i="5"/>
  <c r="AI171" i="5"/>
  <c r="L172" i="5"/>
  <c r="AI172" i="5"/>
  <c r="L173" i="5"/>
  <c r="AI173" i="5"/>
  <c r="L174" i="5"/>
  <c r="AI174" i="5"/>
  <c r="L175" i="5"/>
  <c r="AI175" i="5"/>
  <c r="L176" i="5"/>
  <c r="AI176" i="5"/>
  <c r="L177" i="5"/>
  <c r="AI177" i="5"/>
  <c r="L178" i="5"/>
  <c r="AI178" i="5"/>
  <c r="L132" i="5"/>
  <c r="AI132" i="5"/>
  <c r="L133" i="5"/>
  <c r="AI133" i="5"/>
  <c r="L134" i="5"/>
  <c r="AI134" i="5"/>
  <c r="L135" i="5"/>
  <c r="AI135" i="5"/>
  <c r="L136" i="5"/>
  <c r="AI136" i="5"/>
  <c r="L137" i="5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144" i="5"/>
  <c r="AI144" i="5"/>
  <c r="L145" i="5"/>
  <c r="AI145" i="5"/>
  <c r="L146" i="5"/>
  <c r="AI146" i="5"/>
  <c r="L148" i="5"/>
  <c r="AI148" i="5"/>
  <c r="L149" i="5"/>
  <c r="AI149" i="5"/>
  <c r="L150" i="5"/>
  <c r="AI150" i="5"/>
  <c r="L151" i="5"/>
  <c r="AI151" i="5"/>
  <c r="L152" i="5"/>
  <c r="AI152" i="5"/>
  <c r="L153" i="5"/>
  <c r="AI153" i="5"/>
  <c r="L154" i="5"/>
  <c r="AI154" i="5"/>
  <c r="L155" i="5"/>
  <c r="AI155" i="5"/>
  <c r="L156" i="5"/>
  <c r="AI156" i="5"/>
  <c r="L157" i="5"/>
  <c r="AI157" i="5"/>
  <c r="L158" i="5"/>
  <c r="AI158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120" i="5"/>
  <c r="AI120" i="5"/>
  <c r="L121" i="5"/>
  <c r="AI121" i="5"/>
  <c r="L122" i="5"/>
  <c r="AI122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66" i="5"/>
  <c r="AI66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L32" i="5"/>
  <c r="AI32" i="5"/>
  <c r="C100" i="5"/>
  <c r="C110" i="5"/>
  <c r="C55" i="5"/>
  <c r="C122" i="5"/>
  <c r="C97" i="5"/>
  <c r="C42" i="5"/>
  <c r="C101" i="5"/>
  <c r="C25" i="5"/>
  <c r="C48" i="5"/>
  <c r="C145" i="5"/>
  <c r="C169" i="5"/>
  <c r="C63" i="5"/>
  <c r="C40" i="5"/>
  <c r="C21" i="5"/>
  <c r="C44" i="5"/>
  <c r="C172" i="5"/>
  <c r="C32" i="5"/>
  <c r="C53" i="5"/>
  <c r="C153" i="5"/>
  <c r="C174" i="5"/>
  <c r="C208" i="5"/>
  <c r="C56" i="5"/>
  <c r="C191" i="5"/>
  <c r="C60" i="5"/>
  <c r="C141" i="5"/>
  <c r="C197" i="5"/>
  <c r="C23" i="5"/>
  <c r="C86" i="5"/>
  <c r="C133" i="5"/>
  <c r="C189" i="5"/>
  <c r="C137" i="5"/>
  <c r="C193" i="5"/>
  <c r="C65" i="5"/>
  <c r="C149" i="5"/>
  <c r="C170" i="5"/>
  <c r="C111" i="5"/>
  <c r="C88" i="5"/>
  <c r="C150" i="5"/>
  <c r="C173" i="5"/>
  <c r="C154" i="5"/>
  <c r="C177" i="5"/>
  <c r="C93" i="5"/>
  <c r="C82" i="5"/>
  <c r="C139" i="5"/>
  <c r="C43" i="5"/>
  <c r="C104" i="5"/>
  <c r="C157" i="5"/>
  <c r="C178" i="5"/>
  <c r="C78" i="5"/>
  <c r="C135" i="5"/>
  <c r="C107" i="5"/>
  <c r="C84" i="5"/>
  <c r="C113" i="5"/>
  <c r="C50" i="5"/>
  <c r="C77" i="5"/>
  <c r="C90" i="5"/>
  <c r="C148" i="5"/>
  <c r="C94" i="5"/>
  <c r="C152" i="5"/>
  <c r="C39" i="5"/>
  <c r="C89" i="5"/>
  <c r="C29" i="5"/>
  <c r="C52" i="5"/>
  <c r="C106" i="5"/>
  <c r="C119" i="5"/>
  <c r="C31" i="5"/>
  <c r="C116" i="5"/>
  <c r="C206" i="5"/>
  <c r="C199" i="5"/>
  <c r="C45" i="5"/>
  <c r="C92" i="5"/>
  <c r="C85" i="5"/>
  <c r="C47" i="5"/>
  <c r="C108" i="5"/>
  <c r="C51" i="5"/>
  <c r="C112" i="5"/>
  <c r="C188" i="5"/>
  <c r="C62" i="5"/>
  <c r="C121" i="5"/>
  <c r="C136" i="5"/>
  <c r="C190" i="5"/>
  <c r="C54" i="5"/>
  <c r="C61" i="5"/>
  <c r="C58" i="5"/>
  <c r="C117" i="5"/>
  <c r="C195" i="5"/>
  <c r="C64" i="5"/>
  <c r="C79" i="5"/>
  <c r="C138" i="5"/>
  <c r="C196" i="5"/>
  <c r="C24" i="5"/>
  <c r="C168" i="5"/>
  <c r="C28" i="5"/>
  <c r="C49" i="5"/>
  <c r="C132" i="5"/>
  <c r="C207" i="5"/>
  <c r="C95" i="5"/>
  <c r="C155" i="5"/>
  <c r="C171" i="5"/>
  <c r="C26" i="5"/>
  <c r="C175" i="5"/>
  <c r="C30" i="5"/>
  <c r="C158" i="5"/>
  <c r="C134" i="5"/>
  <c r="C143" i="5"/>
  <c r="C102" i="5"/>
  <c r="C57" i="5"/>
  <c r="C140" i="5"/>
  <c r="C194" i="5"/>
  <c r="C144" i="5"/>
  <c r="C198" i="5"/>
  <c r="C91" i="5"/>
  <c r="C151" i="5"/>
  <c r="C41" i="5"/>
  <c r="C118" i="5"/>
  <c r="C83" i="5"/>
  <c r="C142" i="5"/>
  <c r="C87" i="5"/>
  <c r="C146" i="5"/>
  <c r="C109" i="5"/>
  <c r="C98" i="5"/>
  <c r="C156" i="5"/>
  <c r="C59" i="5"/>
  <c r="C120" i="5"/>
  <c r="C99" i="5"/>
  <c r="C76" i="5"/>
  <c r="C103" i="5"/>
  <c r="C80" i="5"/>
  <c r="C114" i="5"/>
  <c r="C66" i="5"/>
  <c r="C81" i="5"/>
  <c r="C46" i="5"/>
  <c r="C27" i="5"/>
  <c r="C192" i="5"/>
  <c r="C115" i="5"/>
  <c r="C96" i="5"/>
  <c r="C176" i="5"/>
  <c r="C22" i="5"/>
  <c r="C105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2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3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3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<sst xmlns="http://schemas.openxmlformats.org/spreadsheetml/2006/main" count="1081" uniqueCount="669">
  <si>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</si>
  <si>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</si>
  <si>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</si>
  <si>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</si>
  <si>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</si>
  <si>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</si>
  <si>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</si>
  <si>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</si>
  <si>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</si>
  <si>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</si>
  <si>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</si>
  <si>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</si>
  <si>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</si>
  <si>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</si>
  <si>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</si>
  <si>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</si>
  <si>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</si>
  <si>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</si>
  <si>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</si>
  <si>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</si>
  <si>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</si>
  <si>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</si>
  <si>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</si>
  <si>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t xml:space="preserve">
ИНН/КПП /</t>
  </si>
  <si>
    <t>ЛОКАЛЬНЫЙ СМЕТНЫЙ РАСЧЕТ №  02-01-01</t>
  </si>
  <si>
    <t>Проверил:____________________________</t>
  </si>
  <si>
    <t>Раздел 1. Демонтажные работы</t>
  </si>
  <si>
    <t>ФЕР46-04-008-04</t>
  </si>
  <si>
    <t>154,66
124,02</t>
  </si>
  <si>
    <t>46.70 Разборка покрытий кровель: ОЗП=16,9; ЭМ=2,99; ЗПМ=16,9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</si>
  <si>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</si>
  <si>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</si>
  <si>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</si>
  <si>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</si>
  <si>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ФЕРр58-3-1</t>
  </si>
  <si>
    <t>3,0824
1,6624+0,95+0,47</t>
  </si>
  <si>
    <t>71,18
70,98</t>
  </si>
  <si>
    <t>84.3 Разборка мелких покрытий и обделок из листовой стали: ОЗП=16,9; ЭМ=4,75; ЗПМ=16,9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</si>
  <si>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</si>
  <si>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</si>
  <si>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</si>
  <si>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</si>
  <si>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ФЕРр58-2-1</t>
  </si>
  <si>
    <t>2720,29
2709,92</t>
  </si>
  <si>
    <t>84.2 Разборка слуховых окон: ОЗП=16,9; ЭМ=4,65; ЗПМ=16,9</t>
  </si>
  <si>
    <t>Разборка слуховых окон: прямоугольных двускатных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</si>
  <si>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</si>
  <si>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</si>
  <si>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</si>
  <si>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</si>
  <si>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ОЗП=16,9; ЭМ=12,12; ЗПМ=16,9</t>
  </si>
  <si>
    <t>5260
1149</t>
  </si>
  <si>
    <t>15,16
0,46</t>
  </si>
  <si>
    <t>165,4
5,02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</si>
  <si>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</si>
  <si>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</si>
  <si>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</si>
  <si>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</si>
  <si>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</si>
  <si>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3309
727</t>
  </si>
  <si>
    <t>22,68
0,29</t>
  </si>
  <si>
    <t>247,44
3,16</t>
  </si>
  <si>
    <t>Разборка деревянных элементов конструкций крыш: стропил со стойками и подкосами из досок</t>
  </si>
  <si>
    <t>ФЕРр58-1-4</t>
  </si>
  <si>
    <t>76,77
53,44</t>
  </si>
  <si>
    <t>23,33
3,65</t>
  </si>
  <si>
    <t>3091
676</t>
  </si>
  <si>
    <t>6,73
0,27</t>
  </si>
  <si>
    <t>73,42
2,95</t>
  </si>
  <si>
    <t>Разборка деревянных элементов конструкций крыш: мауэрлатов</t>
  </si>
  <si>
    <t>ФЕР12-01-012-01
ОЗП=0,7
ЭМ=0,7
ЗПМ=0,7
МАТ=0
ТЗ=0,7
ТЗМ=0,7</t>
  </si>
  <si>
    <t>80,14
41,37</t>
  </si>
  <si>
    <t>38,77
2,74</t>
  </si>
  <si>
    <t>12.29. Ограждение кровель перилами: ОЗП=16,9; ЭМ=10,11; ЗПМ=16,9; МАТ=7,51</t>
  </si>
  <si>
    <t>586
68</t>
  </si>
  <si>
    <t>4,669
0,203</t>
  </si>
  <si>
    <t>6,98
0,3</t>
  </si>
  <si>
    <t>НР 92%=120%*(0,85*0,9) от ФОТ</t>
  </si>
  <si>
    <t>СП 44%=65%*(0,8*0,85) от ФОТ</t>
  </si>
  <si>
    <t>(Демонтаж (разборка) металлических конструкций ОЗП=0,7; ЭМ=0,7 к расх.; ЗПМ=0,7; МАТ=0 к расх.; ТЗ=0,7; ТЗМ=0,7)</t>
  </si>
  <si>
    <t>Демонтаж ограждения кровель перилами</t>
  </si>
  <si>
    <t>100 м ограждения</t>
  </si>
  <si>
    <t>ФЕР10-01-039-05
ОЗП=0,8
ЭМ=0,8
ЗПМ=0,8
МАТ=0
ТЗ=0,8
ТЗМ=0,8</t>
  </si>
  <si>
    <t>1627,62
823,46</t>
  </si>
  <si>
    <t>804,16
104,66</t>
  </si>
  <si>
    <t>10.95. Установка люков в перекрытиях: ОЗП=16,9; ЭМ=12,02; ЗПМ=16,9; МАТ=8,18</t>
  </si>
  <si>
    <t>276
51</t>
  </si>
  <si>
    <t>97,336
7,752</t>
  </si>
  <si>
    <t>2,8
0,22</t>
  </si>
  <si>
    <t>НР 90%=118%*(0,85*0,9) от ФОТ</t>
  </si>
  <si>
    <t>СП 43%=63%*(0,8*0,85) от ФОТ</t>
  </si>
  <si>
    <t>(Демонтаж (разборка) сборных деревянных конструкций ОЗП=0,8; ЭМ=0,8 к расх.; ЗПМ=0,8; МАТ=0 к расх.; ТЗ=0,8; ТЗМ=0,8)</t>
  </si>
  <si>
    <t>Демонтаж люков в перекрытиях, площадь проема до 2 м2</t>
  </si>
  <si>
    <t>100 м2 проемов</t>
  </si>
  <si>
    <t>ФЕР46-04-001-04</t>
  </si>
  <si>
    <t>180,03
73,01</t>
  </si>
  <si>
    <t>107,02
11,57</t>
  </si>
  <si>
    <t>46.59 Разборка: кирпичных и мелкоблочных стен: ОЗП=16,9; ЭМ=7,43; ЗПМ=16,9</t>
  </si>
  <si>
    <t>4265
1048</t>
  </si>
  <si>
    <t>8,24
1,15</t>
  </si>
  <si>
    <t>44,17
6,16</t>
  </si>
  <si>
    <t>Разборка: кирпичных стен</t>
  </si>
  <si>
    <t>1 м3</t>
  </si>
  <si>
    <t>ФЕРр69-15-1</t>
  </si>
  <si>
    <t>83,49
139,15*0,6</t>
  </si>
  <si>
    <t>23,81
7,41</t>
  </si>
  <si>
    <t>94.26 Затаривание строительного мусора в мешки: ОЗП=16,9;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</si>
  <si>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</si>
  <si>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</si>
  <si>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</si>
  <si>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</si>
  <si>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ФЕРр65-35-1</t>
  </si>
  <si>
    <t>189,06
159,51</t>
  </si>
  <si>
    <t>0,31
0,14</t>
  </si>
  <si>
    <t>90.114 Прочистка вентиляционных каналов: ОЗП=16,9; ЭМ=7,45; ЗПМ=16,9; МАТ=4,96</t>
  </si>
  <si>
    <t>18,7
0,01</t>
  </si>
  <si>
    <t>27,68
0,01</t>
  </si>
  <si>
    <t>НР 63%=74%*0,85 от ФОТ</t>
  </si>
  <si>
    <t>Прочистка вентиляционных каналов</t>
  </si>
  <si>
    <t>100 м канала</t>
  </si>
  <si>
    <t>ФЕРр65-29-1</t>
  </si>
  <si>
    <t>1,56
1,56</t>
  </si>
  <si>
    <t>90.108 Разборка вентиляционных шахт: ОЗП=16,9</t>
  </si>
  <si>
    <t>Разборка вентиляционных шахт</t>
  </si>
  <si>
    <t>1 м2 внутренней поверхности шахты</t>
  </si>
  <si>
    <t>Итого прямые затраты по разделу в ценах 2001г.</t>
  </si>
  <si>
    <t>1940
220</t>
  </si>
  <si>
    <t>871,92
17,82</t>
  </si>
  <si>
    <t>Итого прямые затраты по разделу с учетом индексов, в текущих ценах</t>
  </si>
  <si>
    <t>17755
3719</t>
  </si>
  <si>
    <t>Накладные расходы</t>
  </si>
  <si>
    <t>Сметная прибыль</t>
  </si>
  <si>
    <t>Итого по разделу 1 Демонтажные работы</t>
  </si>
  <si>
    <t>Раздел 2. Чердак</t>
  </si>
  <si>
    <t>ФЕР08-02-003-03</t>
  </si>
  <si>
    <t>933,48
74,54</t>
  </si>
  <si>
    <t>36,29
5,67</t>
  </si>
  <si>
    <t>8.17. Кладка из кирпича конструкций: ОЗП=16,9; ЭМ=12,09; ЗПМ=16,9; МАТ=4,68</t>
  </si>
  <si>
    <t>822
186</t>
  </si>
  <si>
    <t>7,93
0,42</t>
  </si>
  <si>
    <t>11,9
0,63</t>
  </si>
  <si>
    <t>НР 93%=122%*(0,85*0,9) от ФОТ</t>
  </si>
  <si>
    <t>СП 54%=80%*(0,8*0,85) от ФОТ</t>
  </si>
  <si>
    <t>Кладка из кирпича: столбов прямоугольных неармированных при высоте этажа до 4 м</t>
  </si>
  <si>
    <t>1 м3 кладки</t>
  </si>
  <si>
    <t>ФЕРр58-13-1</t>
  </si>
  <si>
    <t>924,81
36,25</t>
  </si>
  <si>
    <t>84.34 Устройство покрытия из рулонных материалов: насухо без промазки кромок: ОЗП=16,9; ЭМ=11,82; ЗПМ=16,9; МАТ=5,01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</si>
  <si>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</si>
  <si>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</si>
  <si>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МАТ=5,004</t>
  </si>
  <si>
    <t>Рубероид кровельный с крупнозернистой посыпкой марки: РКК-350б</t>
  </si>
  <si>
    <t>м2</t>
  </si>
  <si>
    <t>ФССЦ-104-9221-90002</t>
  </si>
  <si>
    <t>Индекс на материалы; МАТ=5,56</t>
  </si>
  <si>
    <t>Изоспан: Двухслойная паропроницаемая мембрана марки В 14,62/5,56=2,63</t>
  </si>
  <si>
    <t>ФЕР12-01-013-03</t>
  </si>
  <si>
    <t>4711,58
433,09</t>
  </si>
  <si>
    <t>132,25
7,43</t>
  </si>
  <si>
    <t>12.31. Утепление покрытий плитами: из минеральной ваты или перлита на битумной мастике: ОЗП=16,9; ЭМ=9,15; ЗПМ=16,9; МАТ=6,74</t>
  </si>
  <si>
    <t>11877
1234</t>
  </si>
  <si>
    <t>45,54
0,55</t>
  </si>
  <si>
    <t>357,4
4,32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</si>
  <si>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</si>
  <si>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</si>
  <si>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</si>
  <si>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ЭМ=5,446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</si>
  <si>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</si>
  <si>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</si>
  <si>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</si>
  <si>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</si>
  <si>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</si>
  <si>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марки: БНК-45/190, БНК-45/180; МАТ=13,277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</si>
  <si>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</si>
  <si>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</si>
  <si>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</si>
  <si>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KT-1, KT-2; МАТ=15,94</t>
  </si>
  <si>
    <t>Керосин для технических целей марок КТ-1, КТ-2</t>
  </si>
  <si>
    <t>ФССЦ-101-0594</t>
  </si>
  <si>
    <t>Мастика битумная кровельная горячая; МАТ=10,167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</si>
  <si>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</si>
  <si>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</si>
  <si>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МАТ=5,772</t>
  </si>
  <si>
    <t>Плиты из минеральной ваты на синтетическом связующем М-125 (ГОСТ 9573-96)</t>
  </si>
  <si>
    <t>м3</t>
  </si>
  <si>
    <t>ФЕР12-01-013-04
ПЗ=4
ОЗП=4
ЭМ=4
ЗПМ=4
МАТ=4
ТЗ=4
ТЗМ=4</t>
  </si>
  <si>
    <t>17674,64
1341,28</t>
  </si>
  <si>
    <t>506,2
29,72</t>
  </si>
  <si>
    <t>45439
4918</t>
  </si>
  <si>
    <t>141,04
2,2</t>
  </si>
  <si>
    <t>1106,88
17,27</t>
  </si>
  <si>
    <t>(Всего толщ. 250 мм ПЗ=4 (ОЗП=4; ЭМ=4 к расх.; ЗПМ=4; МАТ=4 к расх.; ТЗ=4; ТЗМ=4))</t>
  </si>
  <si>
    <t>Утепление покрытий плитами: на каждый последующий слой добавлять к расценке 12-01-013-03</t>
  </si>
  <si>
    <t>ФЕР12-01-013-04
ПЗ=2
ОЗП=2
ЭМ=2
ЗПМ=2
МАТ=2
ТЗ=2
ТЗМ=2</t>
  </si>
  <si>
    <t>8837,32
670,64</t>
  </si>
  <si>
    <t>253,1
14,86</t>
  </si>
  <si>
    <t>4575
490</t>
  </si>
  <si>
    <t>70,52
1,1</t>
  </si>
  <si>
    <t>111,42
1,74</t>
  </si>
  <si>
    <t>(В 2 слоя ПЗ=2 (ОЗП=2; ЭМ=2 к расх.; ЗПМ=2; МАТ=2 к расх.; ТЗ=2; ТЗМ=2))</t>
  </si>
  <si>
    <t>ФССЦ-104-9100-91004</t>
  </si>
  <si>
    <t>218,36
(196,2+15,8)*1,03</t>
  </si>
  <si>
    <t>Плиты теплоизоляционные энергетические гидрофобизированные базальтовые: ПТЭ-125 , размером 2000х1000х50 мм 4146,89/5,56=745,84</t>
  </si>
  <si>
    <t>ФССЦ-104-9221-90001</t>
  </si>
  <si>
    <t>Изоспан: Защитный материал марки А 20,40/5,56=3,67</t>
  </si>
  <si>
    <t>ФЕР10-01-023-01</t>
  </si>
  <si>
    <t>1051,44
31,84</t>
  </si>
  <si>
    <t>12,45
1,08</t>
  </si>
  <si>
    <t>10.54. Укладка ходовых досок: ОЗП=16,9; ЭМ=11,15; ЗПМ=16,9; МАТ=5,35</t>
  </si>
  <si>
    <t>201
17</t>
  </si>
  <si>
    <t>3,8
0,08</t>
  </si>
  <si>
    <t>4,29
0,09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</si>
  <si>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</si>
  <si>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</si>
  <si>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</si>
  <si>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МАТ=5,364</t>
  </si>
  <si>
    <t>Доски необрезные хвойных пород длиной: 4-6,5 м, все ширины, толщиной 32-40 мм, III сорта</t>
  </si>
  <si>
    <t>ФССЦ-102-0060</t>
  </si>
  <si>
    <t>Доски обрезные хвойных пород длиной 4-6,5 м, шириной 75-150 мм, толщиной 44 мм и более, II сорта; МАТ=4,159</t>
  </si>
  <si>
    <t>Доски обрезные хвойных пород длиной: 4-6,5 м, шириной 75-150 мм, толщиной 44 мм и более, II сорта</t>
  </si>
  <si>
    <t>ФЕР10-01-010-01
прим. лесница к слуховым окнам</t>
  </si>
  <si>
    <t>2411,06
188,55</t>
  </si>
  <si>
    <t>10.18. Установка деревянных элементов каркаса: ОЗП=16,9; ЭМ=11,46; ЗПМ=16,9; МАТ=3,37</t>
  </si>
  <si>
    <t>Установка элементов каркаса: из брусьев</t>
  </si>
  <si>
    <t>1 м3 древесины в конструкции</t>
  </si>
  <si>
    <t>ФЕР09-04-013-01</t>
  </si>
  <si>
    <t>91,99
21,13</t>
  </si>
  <si>
    <t>9.67 Установка противопожарных дверей: ОЗП=16,9; ЭМ=6,53; ЗПМ=16,9; МАТ=4,87</t>
  </si>
  <si>
    <t>НР 69%=90%*(0,85*0,9) от ФОТ</t>
  </si>
  <si>
    <t>СП 58%=85%*(0,8*0,85) от ФОТ</t>
  </si>
  <si>
    <t>Установка противопожарных дверей: однопольных глухих</t>
  </si>
  <si>
    <t>1 м2 проема</t>
  </si>
  <si>
    <t>ФССЦ-301-0271-00023</t>
  </si>
  <si>
    <t>Люки противопожарные: ЛПМ 01/60, 800х900 мм 8654,13/5,56=1556,50</t>
  </si>
  <si>
    <t>шт.</t>
  </si>
  <si>
    <t>2916
324</t>
  </si>
  <si>
    <t>1673,58
24,05</t>
  </si>
  <si>
    <t>Итого прямые затраты по разделу с учетом коэффициентов к итогам</t>
  </si>
  <si>
    <t>3625
405</t>
  </si>
  <si>
    <t>1913,6
30,06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</si>
  <si>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</si>
  <si>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13, 17, 23, 27, 18, 24, 28, 35, 38-39)</t>
  </si>
  <si>
    <t>708
81</t>
  </si>
  <si>
    <t>240,015
6,0125</t>
  </si>
  <si>
    <t>45956
6845</t>
  </si>
  <si>
    <t>Итого по разделу 2 Чердак</t>
  </si>
  <si>
    <t>Раздел 3. Кровля</t>
  </si>
  <si>
    <t>ФЕР10-01-002-01</t>
  </si>
  <si>
    <t>2300,67
200,19</t>
  </si>
  <si>
    <t>38,22
2,03</t>
  </si>
  <si>
    <t>10.4. Установка стропил: ОЗП=16,9; ЭМ=11,09; ЗПМ=16,9; МАТ=3,71</t>
  </si>
  <si>
    <t>23489
1910</t>
  </si>
  <si>
    <t>24,09
0,15</t>
  </si>
  <si>
    <t>1067,52
6,65</t>
  </si>
  <si>
    <t>Установка стропил</t>
  </si>
  <si>
    <t>ФЕРр58-12-1</t>
  </si>
  <si>
    <t>4,428
6,507-2,079</t>
  </si>
  <si>
    <t>2492,19
252,73</t>
  </si>
  <si>
    <t>40,78
5,94</t>
  </si>
  <si>
    <t>84.30 Устройство обрешетки сплошной из досок: ОЗП=16,9; ЭМ=10,32; ЗПМ=16,9; МАТ=5,51</t>
  </si>
  <si>
    <t>1868
439</t>
  </si>
  <si>
    <t>31,83
0,44</t>
  </si>
  <si>
    <t>140,94
1,95</t>
  </si>
  <si>
    <t>Устройство обрешетки сплошной из досок</t>
  </si>
  <si>
    <t>100 м2</t>
  </si>
  <si>
    <t>ФССЦ-102-0073</t>
  </si>
  <si>
    <t>Доски необрезные хвойных пород длиной: 4-6,5 м, все ширины, толщиной 25 мм, III сорта; МАТ=5,639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</si>
  <si>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</si>
  <si>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</si>
  <si>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</si>
  <si>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</si>
  <si>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ОЗП=16,9; ЭМ=10,15; ЗПМ=16,9; МАТ=5,26</t>
  </si>
  <si>
    <t>1188
321</t>
  </si>
  <si>
    <t>21,35
0,32</t>
  </si>
  <si>
    <t>94
1,41</t>
  </si>
  <si>
    <t>Устройство обрешетки с прозорами из досок и брусков под кровлю: из листовой стали</t>
  </si>
  <si>
    <t>ФССЦ-104-9221-90004</t>
  </si>
  <si>
    <t>Изоспан: Защитный материал марки D 19,49/5,56=3,51</t>
  </si>
  <si>
    <t>ФЕР10-01-003-01</t>
  </si>
  <si>
    <t>378,81
56,55</t>
  </si>
  <si>
    <t>22,06
1,49</t>
  </si>
  <si>
    <t>10.5. Устройство слуховых окон: ОЗП=16,9; ЭМ=11,27; ЗПМ=16,9; МАТ=5,43</t>
  </si>
  <si>
    <t>1240
135</t>
  </si>
  <si>
    <t>6,63
0,11</t>
  </si>
  <si>
    <t>26,52
0,44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</si>
  <si>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</si>
  <si>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</si>
  <si>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</si>
  <si>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МАТ=2,338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</si>
  <si>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</si>
  <si>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</si>
  <si>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</si>
  <si>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МАТ=1,986</t>
  </si>
  <si>
    <t>Шпингалеты дверные размером 230х26 мм, оцинкованные или окрашенные</t>
  </si>
  <si>
    <t>ФЕР10-01-091-01</t>
  </si>
  <si>
    <t>263,84
47,94</t>
  </si>
  <si>
    <t>39,73
0,46</t>
  </si>
  <si>
    <t>10.149 Антисептическая обработка деревянных конструкций составом 'Пирилакс': ОЗП=16,9; ЭМ=11,4; ЗПМ=16,9; МАТ=10,79</t>
  </si>
  <si>
    <t>21660
389</t>
  </si>
  <si>
    <t>5,1
0,04</t>
  </si>
  <si>
    <t>195,12
1,53</t>
  </si>
  <si>
    <t>Антисептическая обработка деревянных конструкций составом "Пирилакс" при помощи аппарата аэрозольно-капельного распыления</t>
  </si>
  <si>
    <t>100 м2 обрабатываемой поверхности</t>
  </si>
  <si>
    <t>ФЕР12-01-023-02</t>
  </si>
  <si>
    <t>13,174
10,5+2.674</t>
  </si>
  <si>
    <t>10417,47
356,23</t>
  </si>
  <si>
    <t>115,24
10,67</t>
  </si>
  <si>
    <t>12.51. Устройство кровли из металлочерепицы (с отделочным покрытием): ОЗП=16,9; ЭМ=11,31; ЗПМ=16,9; МАТ=3,48</t>
  </si>
  <si>
    <t>21466
2974</t>
  </si>
  <si>
    <t>41,23
0,79</t>
  </si>
  <si>
    <t>543,16
10,41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</si>
  <si>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</si>
  <si>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</si>
  <si>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МАТ=3,676</t>
  </si>
  <si>
    <t>Металлочерепица «Монтеррей»</t>
  </si>
  <si>
    <t>ФССЦ-101-3845</t>
  </si>
  <si>
    <t>9,5865
1050*8,3*1,1/1000</t>
  </si>
  <si>
    <t>Профилированный лист оцинкованный: НС44-1000-0,7; МАТ=4,534</t>
  </si>
  <si>
    <t>Профилированный лист оцинкованный: НС44-1000-0,7</t>
  </si>
  <si>
    <t>ФССЦ-101-3741</t>
  </si>
  <si>
    <t>Сталь листовая оцинкованная толщиной листа: 0,55 мм; МАТ=3,993</t>
  </si>
  <si>
    <t>Сталь листовая оцинкованная толщиной листа: 0,55 мм</t>
  </si>
  <si>
    <t>ФССЦ-101-3741
конёк</t>
  </si>
  <si>
    <t>ФЕР09-05-006-01</t>
  </si>
  <si>
    <t>3,6
3,05</t>
  </si>
  <si>
    <t>9.74 Резка стального профилированного настила: ОЗП=16,9; ЭМ=2,04; ЗПМ=16,9</t>
  </si>
  <si>
    <t>Резка стального профилированного настила</t>
  </si>
  <si>
    <t>1 м реза</t>
  </si>
  <si>
    <t>ФЕР12-01-009-01</t>
  </si>
  <si>
    <t>18952,69
722,92</t>
  </si>
  <si>
    <t>296,15
28,49</t>
  </si>
  <si>
    <t>12.26. Устройство желобов: ОЗП=16,9; ЭМ=11,67; ЗПМ=16,9; МАТ=3,93</t>
  </si>
  <si>
    <t>7189
997</t>
  </si>
  <si>
    <t>84,75
2,11</t>
  </si>
  <si>
    <t>140,96
3,51</t>
  </si>
  <si>
    <t>Устройство желобов: настенных</t>
  </si>
  <si>
    <t>100 м желобов</t>
  </si>
  <si>
    <t>ФССЦ-102-0121</t>
  </si>
  <si>
    <t>Доски обрезные хвойных пород длиной: 2-3,75 м, шириной 75-150 мм, толщиной 44 мм и более, III сорта; МАТ=5,581</t>
  </si>
  <si>
    <t>Доски обрезные хвойных пород длиной: 2-3,75 м, шириной 75-150 мм, толщиной 44 мм и более, III сорта</t>
  </si>
  <si>
    <t>ФССЦ-101-1875</t>
  </si>
  <si>
    <t>Сталь листовая оцинкованная толщиной листа:0,7 мм; МАТ=3,474</t>
  </si>
  <si>
    <t>Сталь листовая оцинкованная толщиной листа: 0,7 мм</t>
  </si>
  <si>
    <t>ФЕР12-01-012-01</t>
  </si>
  <si>
    <t>3147,39
59,1</t>
  </si>
  <si>
    <t>55,38
3,92</t>
  </si>
  <si>
    <t>1051
135</t>
  </si>
  <si>
    <t>6,67
0,29</t>
  </si>
  <si>
    <t>9,97
0,43</t>
  </si>
  <si>
    <t>Ограждение кровель перилами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</si>
  <si>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</si>
  <si>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</si>
  <si>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</si>
  <si>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1011
135</t>
  </si>
  <si>
    <t>9,6
0,42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</si>
  <si>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</si>
  <si>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</si>
  <si>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</si>
  <si>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1800/1,18/3/5,56=91,45</t>
  </si>
  <si>
    <t>м</t>
  </si>
  <si>
    <t>404
51</t>
  </si>
  <si>
    <t>3,87
0,17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</si>
  <si>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</si>
  <si>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</si>
  <si>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</si>
  <si>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МАТ=6,919</t>
  </si>
  <si>
    <t>Трос стальной</t>
  </si>
  <si>
    <t>ФССЦ-204-0059</t>
  </si>
  <si>
    <t>0,0018
0,00009*20</t>
  </si>
  <si>
    <t>Анкерные детали из прямых или гнутых круглых стержней с резьбой (в комплекте с шайбами и гайками или без них), поставляемые отдельно; МАТ=4,94</t>
  </si>
  <si>
    <t>Анкерные детали из прямых или гнутых круглых стержней с резьбой (в комплекте с шайбами и гайками или без них): поставляемые отдельно</t>
  </si>
  <si>
    <t>142
17</t>
  </si>
  <si>
    <t>1,33
0,06</t>
  </si>
  <si>
    <t>Устройство переходных лестниц  на кровле</t>
  </si>
  <si>
    <t>Прайс RS Element</t>
  </si>
  <si>
    <t>Лестница кровельная длиной 5 м (1800+2700)/1,18/5/5,56=137.18</t>
  </si>
  <si>
    <t>0,05
0,0125*4</t>
  </si>
  <si>
    <t>0,33
0,01</t>
  </si>
  <si>
    <t>Устройство переходных мостиков  на кровле</t>
  </si>
  <si>
    <t>Прайс  Руффо</t>
  </si>
  <si>
    <t>Переходный мостик 1250 мм 2250/1,18/5,56=342,95</t>
  </si>
  <si>
    <t>шт</t>
  </si>
  <si>
    <t>ФЕРр58-15-1</t>
  </si>
  <si>
    <t>529,88
521,86</t>
  </si>
  <si>
    <t>84.42 Перенавеска водосточных труб: ОЗП=16,9; МАТ=3,39</t>
  </si>
  <si>
    <t>Перенавеска водосточных труб: с земли, лестниц или подмостей</t>
  </si>
  <si>
    <t>100 м труб</t>
  </si>
  <si>
    <t>ФССЦ-201-1101</t>
  </si>
  <si>
    <t>Звенья водосточных труб из оцинкованной стали толщиной 0,55 мм, диаметром 140 мм, марка ТВ-140; МАТ=2,653</t>
  </si>
  <si>
    <t>Звенья водосточных труб из оцинкованной стали толщиной 0,55 мм, диаметром 140 мм, марка ТВ-140</t>
  </si>
  <si>
    <t>ФССЦ-301-1104</t>
  </si>
  <si>
    <t>Воронка водосточная из оцинкованной стали толщиной 0,55 диаметром 215 мм; МАТ=2,999</t>
  </si>
  <si>
    <t>Воронка водосточная из оцинкованной стали толщиной 0,55 диаметром 215 мм</t>
  </si>
  <si>
    <t>ФССЦ-201-1102</t>
  </si>
  <si>
    <t>Колено из оцинкованной стали толщиной 0,55 мм, диаметром 140 мм, марка ТВ-140; МАТ=4,014</t>
  </si>
  <si>
    <t>Колено из оцинкованной стали толщиной 0,55 мм, диаметром 140 мм, марка ТВ-140</t>
  </si>
  <si>
    <t>ФССЦ-201-1103</t>
  </si>
  <si>
    <t>Отливы (отметы) из оцинкованной стали толщиной 0,55 мм диаметром 140 мм; МАТ=3,901</t>
  </si>
  <si>
    <t>Отливы (отметы) из оцинкованной стали толщиной 0,55 мм диаметром 140 мм</t>
  </si>
  <si>
    <t>ФССЦ-101-0782</t>
  </si>
  <si>
    <t>0,1872
1,8*104/1000</t>
  </si>
  <si>
    <t>Поковки из квадратных заготовок, масса: 1,8 кг; МАТ=4,269</t>
  </si>
  <si>
    <t>Поковки из квадратных заготовок, масса 1,8 кг хомуты</t>
  </si>
  <si>
    <t>ФЕР13-03-004-26
ПЗ=2
ОЗП=2
ЭМ=2
ЗПМ=2
МАТ=2
ТЗ=2
ТЗМ=2</t>
  </si>
  <si>
    <t>644,48
69,48</t>
  </si>
  <si>
    <t>12,44
0,2</t>
  </si>
  <si>
    <t>13.100 Окраска металлических огрунтованных поверхностей: эмалью ПФ-115: ОЗП=16,9; ЭМ=10,78; ЗПМ=16,9; МАТ=4,94</t>
  </si>
  <si>
    <t>7,66
0,02</t>
  </si>
  <si>
    <t>3,53
0,01</t>
  </si>
  <si>
    <t>(За 2 раза ПЗ=2 (ОЗП=2; ЭМ=2 к расх.; ЗПМ=2; МАТ=2 к расх.; ТЗ=2; ТЗМ=2))</t>
  </si>
  <si>
    <t>Окраска металлических огрунтованных поверхностей: эмалью ПФ-115</t>
  </si>
  <si>
    <t>100 м2 окрашиваемой поверхности</t>
  </si>
  <si>
    <t>5923
362</t>
  </si>
  <si>
    <t>2380,7
27</t>
  </si>
  <si>
    <t>7316
443</t>
  </si>
  <si>
    <t>2684,66
32,9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</si>
  <si>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41, 51, 54-55, 61, 66, 68, 71, 75, 78, 60, 87)</t>
  </si>
  <si>
    <t>1392
79</t>
  </si>
  <si>
    <t>303,9585
5,91</t>
  </si>
  <si>
    <t>81601
7486</t>
  </si>
  <si>
    <t>Итого по разделу 3 Кровля</t>
  </si>
  <si>
    <t>Раздел 4. Вентиляционные шахты</t>
  </si>
  <si>
    <t>ФЕР08-02-001-09</t>
  </si>
  <si>
    <t>913,25
58,83</t>
  </si>
  <si>
    <t>31,1
4,86</t>
  </si>
  <si>
    <t>8.14. Кладка стен из кирпича: ОЗП=16,9; ЭМ=12,12; ЗПМ=16,9; МАТ=4,7</t>
  </si>
  <si>
    <t>1818
406</t>
  </si>
  <si>
    <t>7,08
0,36</t>
  </si>
  <si>
    <t>27,33
1,39</t>
  </si>
  <si>
    <t>Кладка стен приямков и каналов</t>
  </si>
  <si>
    <t>ФЕР10-01-010-01</t>
  </si>
  <si>
    <t>ФЕР26-01-036-02</t>
  </si>
  <si>
    <t>167,14
115,03</t>
  </si>
  <si>
    <t>8,66
0,41</t>
  </si>
  <si>
    <t>26.41 Изоляция изделиями из волокнистых и зернистых материалов с креплением на клее и дюбелями холодных поверхностей: внутренних стен и перегородок: ОЗП=16,9; ЭМ=9,93; ЗПМ=16,9; МАТ=1,39</t>
  </si>
  <si>
    <t>13,96
0,03</t>
  </si>
  <si>
    <t>11,87
0,03</t>
  </si>
  <si>
    <t>НР 77%=100%*(0,85*0,9) от ФОТ</t>
  </si>
  <si>
    <t>Изоляция изделиями из волокнистых и зернистых материалов с креплением на клее и дюбелями холодных поверхностей: внутренних стен и перегородок</t>
  </si>
  <si>
    <t>100 м2 поверхности</t>
  </si>
  <si>
    <t>4,3775
4,25*1,03</t>
  </si>
  <si>
    <t>ФЕР10-01-008-08</t>
  </si>
  <si>
    <t>6989,42
275,22</t>
  </si>
  <si>
    <t>10.15. Обивка стен кровельной сталью: оцинкованной по войлоку: ОЗП=16,9; ЭМ=11,82; ЗПМ=16,9; МАТ=3,49</t>
  </si>
  <si>
    <t>Обивка стен кровельной сталью: оцинкованной по войлоку</t>
  </si>
  <si>
    <t>100 м2 стен, фронтонов (за вычетом проемов) и развернутых поверхностей карнизов</t>
  </si>
  <si>
    <t>ФССЦ-101-1704</t>
  </si>
  <si>
    <t>Войлок строительный; МАТ=2,704</t>
  </si>
  <si>
    <t>Войлок строительный</t>
  </si>
  <si>
    <t>ФЕР12-01-010-01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</si>
  <si>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</si>
  <si>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</si>
  <si>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ОЗП=16,9; ЭМ=12,04; ЗПМ=16,9; МАТ=3,48</t>
  </si>
  <si>
    <t>108
17</t>
  </si>
  <si>
    <t>112,75
0,2</t>
  </si>
  <si>
    <t>33,83
0,06</t>
  </si>
  <si>
    <t>Устройство мелких покрытий (брандмауэры, парапеты, свесы и т.п.) из листовой оцинкованной стали</t>
  </si>
  <si>
    <t>ФССЦ-101-1876</t>
  </si>
  <si>
    <t>Сталь листовая оцинкованная толщиной листа:0,8 мм; МАТ=3,776</t>
  </si>
  <si>
    <t>Сталь листовая оцинкованная толщиной листа: 0,8 мм</t>
  </si>
  <si>
    <t>ФЕР20-02-010-08</t>
  </si>
  <si>
    <t>48,56
32,34</t>
  </si>
  <si>
    <t>7,73
0,14</t>
  </si>
  <si>
    <t>20.25 Установка зонтов над шахтами из листовой и оцинкованной стали: ОЗП=16,9; ЭМ=7,61; ЗПМ=16,9; МАТ=5,89</t>
  </si>
  <si>
    <t>883
51</t>
  </si>
  <si>
    <t>3,65
0,01</t>
  </si>
  <si>
    <t>43,8
0,12</t>
  </si>
  <si>
    <t>НР 98%=128%*(0,85*0,9) от ФОТ</t>
  </si>
  <si>
    <t>СП 56%=83%*(0,8*0,85) от ФОТ</t>
  </si>
  <si>
    <t>Установка зонтов над шахтами из листовой стали прямоугольного сечения периметром : 4000 мм</t>
  </si>
  <si>
    <t>1 зонт</t>
  </si>
  <si>
    <t>ФССЦ-301-0314</t>
  </si>
  <si>
    <t>Зонты вентиляционных систем из листовой оцинкованной стали, прямоугольные, периметром шахты 4000 мм; МАТ=4,145</t>
  </si>
  <si>
    <t>Зонты вентиляционных систем из листовой и сортовой стали: прямоугольные, диаметром шахты 4000 мм</t>
  </si>
  <si>
    <t>ФЕР20-02-010-05</t>
  </si>
  <si>
    <t>30,82
20,11</t>
  </si>
  <si>
    <t>Установка зонтов над шахтами из листовой стали прямоугольного сечения периметром : 2600 мм</t>
  </si>
  <si>
    <t>ФССЦ-301-0311</t>
  </si>
  <si>
    <t>Зонты вентиляционных систем из листовой оцинкованной стали, прямоугольные, периметром шахты 2600 мм; МАТ=4,598</t>
  </si>
  <si>
    <t>Зонты вентиляционных систем из листовой и сортовой стали: прямоугольные, диаметром шахты 2600 мм</t>
  </si>
  <si>
    <t>ФССЦ-101-1731</t>
  </si>
  <si>
    <t>Сталь полосовая марки Ст0, шириной 70 мм, толщиной 4-5 мм; МАТ=5,935</t>
  </si>
  <si>
    <t>Сталь полосовая, марка стали: Ст0 шириной 70 мм толщиной 4-5 мм</t>
  </si>
  <si>
    <t>ФССЦ-101-3400</t>
  </si>
  <si>
    <t>Дюбель-гвоздь 8x100 мм; МАТ=1,377</t>
  </si>
  <si>
    <t>Дюбель-гвоздь 8х100 мм</t>
  </si>
  <si>
    <t>100 шт.</t>
  </si>
  <si>
    <t>Металлический стояк вентиляционных каналов</t>
  </si>
  <si>
    <t>ФЕР09-03-014-01</t>
  </si>
  <si>
    <t>1262,6
553,07</t>
  </si>
  <si>
    <t>477,18
51,76</t>
  </si>
  <si>
    <t>9.30 Монтаж связей и распорок из одиночных и парных уголков, гнутосварных профилей: ОЗП=16,9; ЭМ=12,2; ЗПМ=16,9; МАТ=6,27</t>
  </si>
  <si>
    <t>1318
186</t>
  </si>
  <si>
    <t>63,28
3,82</t>
  </si>
  <si>
    <t>11,39
0,69</t>
  </si>
  <si>
    <t>Монтаж связей и распорок из одиночных и парных уголков, гнутосварных профилей для пролетов: до 24 м при высоте здания до 25 м</t>
  </si>
  <si>
    <t>1 т конструкций</t>
  </si>
  <si>
    <t>ФССЦ-201-0755</t>
  </si>
  <si>
    <t>Отдельные конструктивные элементы зданий и сооружений с преобладанием горячекатаных профилей, средняя масса сборочной единицы до 0.1 т; МАТ=9,492</t>
  </si>
  <si>
    <t>Отдельные конструктивные элементы зданий и сооружений с преобладанием: горячекатаных профилей, средняя масса сборочной единицы до 0,1 т</t>
  </si>
  <si>
    <t>ФССЦ-201-0796</t>
  </si>
  <si>
    <t>Профиль направляющий ПН-6 100/40/0,6; МАТ=5,821</t>
  </si>
  <si>
    <t>Профиль направляющий: ПН-6 100/40/0,6</t>
  </si>
  <si>
    <t>7,82
0,02</t>
  </si>
  <si>
    <t>5,768
5,6*1,03</t>
  </si>
  <si>
    <t>34,95
0,06</t>
  </si>
  <si>
    <t>413
32</t>
  </si>
  <si>
    <t>260,91
2,37</t>
  </si>
  <si>
    <t>518
41</t>
  </si>
  <si>
    <t>300,04
2,96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</si>
  <si>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88-89, 92, 109, 90, 106, 94, 111, 97, 99, 103)</t>
  </si>
  <si>
    <t>103
8</t>
  </si>
  <si>
    <t>39,1365
0,5925</t>
  </si>
  <si>
    <t>5502
694</t>
  </si>
  <si>
    <t>Итого по разделу 4 Вентиляционные шахты</t>
  </si>
  <si>
    <t>Раздел 5. Утепление фановых труб - 12 шт</t>
  </si>
  <si>
    <t>ФЕР16-04-001-02</t>
  </si>
  <si>
    <t>0,51
0,0425*12</t>
  </si>
  <si>
    <t>7784,49
611,07</t>
  </si>
  <si>
    <t>6,58
0,68</t>
  </si>
  <si>
    <t>16.104 Прокладка трубопроводов канализации из полиэтиленовых труб высокой плотности диаметром: 100 мм: ОЗП=16,9; ЭМ=11,63; ЗПМ=16,9; МАТ=3,14</t>
  </si>
  <si>
    <t>61,6
0,05</t>
  </si>
  <si>
    <t>31,42
0,03</t>
  </si>
  <si>
    <t>Прокладка трубопроводов канализации из полиэтиленовых труб высокой плотности диаметром: 110 мм</t>
  </si>
  <si>
    <t>100 м трубопровода</t>
  </si>
  <si>
    <t>ФЕР26-01-055-02</t>
  </si>
  <si>
    <t>1532,98
125,51</t>
  </si>
  <si>
    <t>26.74 Установка пароизоляционного слоя из пленки полиэтиленовой: ОЗП=16,9; ЭМ=11,82; ЗПМ=16,9; МАТ=2,49</t>
  </si>
  <si>
    <t>Установка пароизоляционного слоя из: пленки полиэтиленовой (без стекловолокнистых материалов)</t>
  </si>
  <si>
    <t>100 м2 поверхности покрытия изоляции</t>
  </si>
  <si>
    <t>ФССЦ-113-1952</t>
  </si>
  <si>
    <t>Пленка полиэтиленовая толщиной 0,2-0,5 мм, изоловая; МАТ=1,222</t>
  </si>
  <si>
    <t>Пленка полиэтиленовая толщиной: 0,2-0,5 мм, изоловая</t>
  </si>
  <si>
    <t>ФЕР26-01-009-01
МАТ=0</t>
  </si>
  <si>
    <t>241,13
183,98</t>
  </si>
  <si>
    <t>26.13. Изоляция трубопроводов: матами минераловатными марок 75, 100, плитами минераловатными на синтетическом связующем марки 75: ОЗП=16,9; ЭМ=11,72; ЗПМ=16,9; МАТ=3,43</t>
  </si>
  <si>
    <t>(материалы МАТ=0 к расх.)</t>
  </si>
  <si>
    <t>Изоляция трубопроводов: матами минераловатными марок 75, 100, плитами минераловатными на синтетическом связующем марки 75</t>
  </si>
  <si>
    <t>1 м3 изоляции</t>
  </si>
  <si>
    <t>ФССЦ-104-9242-90005</t>
  </si>
  <si>
    <t>50,676
24,6*2*1,03</t>
  </si>
  <si>
    <t>Утеплитель URSA: М 15, толщиной 50 мм 94,37/5,56=16,97</t>
  </si>
  <si>
    <t>ФЕР26-01-054-01
ПЗ=2
ОЗП=2
ЭМ=2
ЗПМ=2
МАТ=2*0
ТЗ=2
ТЗМ=2</t>
  </si>
  <si>
    <t>653,8
552,62</t>
  </si>
  <si>
    <t>26.71 Обертывание поверхности изоляции рулонными материалами насухо с проклейкой швов: ОЗП=16,9; ЭМ=10,73; ЗПМ=16,9; МАТ=9,72</t>
  </si>
  <si>
    <t>(В 2 слоя ПЗ=2 (ОЗП=2; ЭМ=2 к расх.; ЗПМ=2; МАТ=2 к расх.; ТЗ=2; ТЗМ=2);
материалы МАТ=0 к расх.)</t>
  </si>
  <si>
    <t>Обертывание поверхности изоляции рулонными материалами насухо с проклейкой швов</t>
  </si>
  <si>
    <t>ФССЦ-104-0090</t>
  </si>
  <si>
    <t>Ткань стеклянная конструкционная марки:Т-13; МАТ=2,215</t>
  </si>
  <si>
    <t>Ткань стеклянная конструкционная марки: Т-13</t>
  </si>
  <si>
    <t>1000 м2</t>
  </si>
  <si>
    <t>ФЕР26-01-053-01</t>
  </si>
  <si>
    <t>0,3216
0,0268*12</t>
  </si>
  <si>
    <t>10359,57
1265,72</t>
  </si>
  <si>
    <t>26.69 Покрытие изоляции плоских (криволинейных) поверхностей листовым металлом с заготовкой покрытия: ОЗП=16,9; ЭМ=8,15; ЗПМ=16,9; МАТ=3,77</t>
  </si>
  <si>
    <t>Покрытие изоляции плоских (криволинейных) поверхностей листовым металлом с заготовкой покрытия</t>
  </si>
  <si>
    <t>140,22
0,03</t>
  </si>
  <si>
    <t>161,25
0,04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</si>
  <si>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114-115, 118, 120, 122)</t>
  </si>
  <si>
    <t>21,033
0,0075</t>
  </si>
  <si>
    <t>Итого по разделу 5 Утепление фановых труб - 12 шт</t>
  </si>
  <si>
    <t>Раздел 6. Молниезащита</t>
  </si>
  <si>
    <t>ФЕРм08-02-472-08</t>
  </si>
  <si>
    <t>541,57
188,94</t>
  </si>
  <si>
    <t>51,62
1,49</t>
  </si>
  <si>
    <t>55.350 Проводник заземляющий открыто по строительным основаниям: ОЗП=16,9; ЭМ=8,51; ЗПМ=16,9; МАТ=3,52</t>
  </si>
  <si>
    <t>1072
68</t>
  </si>
  <si>
    <t>20,1
0,11</t>
  </si>
  <si>
    <t>49,25
0,27</t>
  </si>
  <si>
    <t>НР 81%=95%*0,85 от ФОТ</t>
  </si>
  <si>
    <t>Проводник заземляющий открыто по строительным основаниям: из круглой стали диаметром 8 мм</t>
  </si>
  <si>
    <t>100 м</t>
  </si>
  <si>
    <t>528
34</t>
  </si>
  <si>
    <t>24,32
0,13</t>
  </si>
  <si>
    <t>ФССЦ-101-1627</t>
  </si>
  <si>
    <t>-0,1464
-0,098-0,0484</t>
  </si>
  <si>
    <t>Сталь листовая углеродистая обыкновенного качества марки ВСт3пс5 толщиной:4-6 мм; МАТ=5,035</t>
  </si>
  <si>
    <t>Сталь листовая углеродистая обыкновенного качества марки ВСт3пс5 толщиной: 4-6 мм</t>
  </si>
  <si>
    <t>ФССЦ-101-1613</t>
  </si>
  <si>
    <t>0,14458
0,09678+0,0478</t>
  </si>
  <si>
    <t>Сталь круглая углеродистая обыкновенного качества марки ВСт3пс5-1 диаметром:8 мм; МАТ=4,997</t>
  </si>
  <si>
    <t>Сталь круглая углеродистая обыкновенного качества марки ВСт3пс5-1 диаметром: 8 мм</t>
  </si>
  <si>
    <t>ФЕРм08-02-472-09</t>
  </si>
  <si>
    <t>374,79
200,22</t>
  </si>
  <si>
    <t>69,36
2,57</t>
  </si>
  <si>
    <t>1089
85</t>
  </si>
  <si>
    <t>21,3
0,19</t>
  </si>
  <si>
    <t>39,19
0,35</t>
  </si>
  <si>
    <t>Проводник заземляющий открыто по строительным основаниям: из круглой стали диаметром 12 мм</t>
  </si>
  <si>
    <t>ФССЦ-101-1614</t>
  </si>
  <si>
    <t>Сталь круглая углеродистая обыкновенного качества марки ВСт3пс5-1 диаметром:16 мм; МАТ=4,865</t>
  </si>
  <si>
    <t>Сталь круглая углеродистая обыкновенного качества марки ВСт3пс5-1 диаметром: 16 мм</t>
  </si>
  <si>
    <t>ФЕРм08-02-471-04</t>
  </si>
  <si>
    <t>155,02
77,93</t>
  </si>
  <si>
    <t>51,63
1,89</t>
  </si>
  <si>
    <t>55.347 Заземлители: ОЗП=16,9; ЭМ=8,89; ЗПМ=16,9; МАТ=3,6</t>
  </si>
  <si>
    <t>187
17</t>
  </si>
  <si>
    <t>8,29
0,14</t>
  </si>
  <si>
    <t>3,32
0,06</t>
  </si>
  <si>
    <t>Заземлитель вертикальный из круглой стали диаметром: 16 мм</t>
  </si>
  <si>
    <t>10 шт.</t>
  </si>
  <si>
    <t>ФЕРм08-02-472-07</t>
  </si>
  <si>
    <t>389,46
200,22</t>
  </si>
  <si>
    <t>82,67
3,38</t>
  </si>
  <si>
    <t>21,3
0,25</t>
  </si>
  <si>
    <t>2,22
0,03</t>
  </si>
  <si>
    <t>Проводник заземляющий открыто по строительным основаниям: из полосовой стали сечением 160 мм2</t>
  </si>
  <si>
    <t>ФЕРп01-11-010-01</t>
  </si>
  <si>
    <t>15,62
15,62</t>
  </si>
  <si>
    <t>Индекс на пусконаладочные работы: ОЗП=16,9</t>
  </si>
  <si>
    <t>НР 55%=65%*0,85 от ФОТ</t>
  </si>
  <si>
    <t>СП 32%=40%*0,8 от ФОТ</t>
  </si>
  <si>
    <t>Измерение сопротивления растеканию тока: заземлителя</t>
  </si>
  <si>
    <t>1 измерение</t>
  </si>
  <si>
    <t>ФЕРм10-05-001-04</t>
  </si>
  <si>
    <t>251,26
246,33</t>
  </si>
  <si>
    <t>57.204 Настройка крупных систем коллективного приёма телевидения (КСКПТ): ОЗП=16,9; МАТ=5,56</t>
  </si>
  <si>
    <t>НР 78%=92%*0,85 от ФОТ</t>
  </si>
  <si>
    <t>Замена существующей антенны с демонтажом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</t>
  </si>
  <si>
    <t>1 антенна</t>
  </si>
  <si>
    <t>346
12</t>
  </si>
  <si>
    <t>218,38
0,84</t>
  </si>
  <si>
    <t>2953
203</t>
  </si>
  <si>
    <t>Итого по разделу 6 Молниезащита</t>
  </si>
  <si>
    <t>Раздел 7. Вывоз мусора</t>
  </si>
  <si>
    <t>ФССЦпг01-01-01-041</t>
  </si>
  <si>
    <t>42,98
42,98</t>
  </si>
  <si>
    <t>Мусор строительный, вручную: погрузка; ЭМ=11,13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</si>
  <si>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</si>
  <si>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</si>
  <si>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</si>
  <si>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</si>
  <si>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</si>
  <si>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Мусор строительный, экскаваторами емк,ковша 0,5 м3: погрузка; ЭМ=11,6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</si>
  <si>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</si>
  <si>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</si>
  <si>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ЭМ=9,84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</si>
  <si>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</si>
  <si>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7 Вывоз мусора</t>
  </si>
  <si>
    <t>Итого прямые затраты по смете в ценах 2001г.</t>
  </si>
  <si>
    <t>14279
950</t>
  </si>
  <si>
    <t>5545,71
72,11</t>
  </si>
  <si>
    <t>Итого прямые затраты по смете с учетом коэффициентов к итогам</t>
  </si>
  <si>
    <t>16575
1121</t>
  </si>
  <si>
    <t>6149,85
84,62</t>
  </si>
  <si>
    <t>Итого прямые затраты по смете с учетом индексов, в текущих ценах</t>
  </si>
  <si>
    <t>182349
18947</t>
  </si>
  <si>
    <t>Итоги по смете:</t>
  </si>
  <si>
    <t xml:space="preserve">  Итого Строительные работы</t>
  </si>
  <si>
    <t>5931,47
83,78</t>
  </si>
  <si>
    <t xml:space="preserve">  Итого Монтажные работы</t>
  </si>
  <si>
    <t>213,5
0,84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</si>
  <si>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</si>
  <si>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</si>
  <si>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</si>
  <si>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</si>
  <si>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</si>
  <si>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</si>
  <si>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</si>
  <si>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</si>
  <si>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</si>
  <si>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3 кв. 2015 года</t>
  </si>
  <si>
    <t>Стоимость единицы                                        (в базисном уровне цен с учетом всех коэффициентов к позиции)</t>
  </si>
  <si>
    <t>Общая стоимость                                                                    (в текущем уровне цен)</t>
  </si>
  <si>
    <t>Капитальный ремонт общего имущества многоквартирного дома по адресу: Томская область, г. Томск,  пр-т, Фрунзе,  дом № 216</t>
  </si>
  <si>
    <t>Основание:  проект П-15-122-2-АС</t>
  </si>
  <si>
    <t xml:space="preserve">на   ремонт  крыши </t>
  </si>
  <si>
    <t>Проведена проверка достоверности определения сметной стоимости</t>
  </si>
  <si>
    <t>Составила:____________________________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</si>
</sst>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0" xfId="0" applyFont="1" applyBorder="1" applyAlignment="1"/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3" applyFont="1" applyBorder="1" applyAlignment="1">
      <alignment horizontal="right" vertical="top" wrapText="1"/>
    </xf>
    <xf numFmtId="0" fontId="2" fillId="0" borderId="1" xfId="3" applyFont="1" applyBorder="1" applyAlignment="1">
      <alignment horizontal="right" vertical="top" wrapText="1"/>
    </xf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31"/>
  <sheetViews>
    <sheetView showGridLines="0" tabSelected="1" zoomScale="101" zoomScaleNormal="101" workbookViewId="0">
      <selection activeCell="F1" sqref="F1"/>
    </sheetView>
  </sheetViews>
  <sheetFormatPr defaultRowHeight="12.75" x14ac:dyDescent="0.2"/>
  <cols>
    <col min="1" max="1" width="3.42578125" style="3" customWidth="1"/>
    <col min="2" max="2" width="14.42578125" style="3" customWidth="1"/>
    <col min="3" max="3" width="41.7109375" style="3" customWidth="1"/>
    <col min="4" max="4" width="6.85546875" style="3" customWidth="1"/>
    <col min="5" max="5" width="9.7109375" style="32" customWidth="1"/>
    <col min="6" max="6" width="8.85546875" style="32" customWidth="1"/>
    <col min="7" max="7" width="0.140625" style="32" hidden="1" customWidth="1"/>
    <col min="8" max="8" width="25.28515625" style="32" customWidth="1"/>
    <col min="9" max="9" width="9.7109375" style="32" customWidth="1"/>
    <col min="10" max="10" width="8.140625" style="32" customWidth="1"/>
    <col min="11" max="11" width="8.7109375" style="32" customWidth="1"/>
    <col min="12" max="12" width="8.85546875" style="32" hidden="1" customWidth="1"/>
    <col min="13" max="13" width="7.7109375" style="32" customWidth="1"/>
    <col min="14" max="14" width="8" style="2" customWidth="1"/>
    <col min="15" max="15" width="9.140625" style="2"/>
    <col min="16" max="16" width="19.7109375" style="2" customWidth="1"/>
    <col min="17" max="26" width="9.140625" style="2"/>
    <col min="27" max="34" width="30.7109375" style="2" customWidth="1"/>
    <col min="35" max="35" width="31.5703125" style="2" customWidth="1"/>
    <col min="36" max="16384" width="9.140625" style="2"/>
  </cols>
  <sheetData>
    <row r="1" spans="1:14" s="1" customFormat="1" x14ac:dyDescent="0.2">
      <c r="A1" s="14"/>
      <c r="B1" s="19"/>
      <c r="C1" s="14"/>
      <c r="E1" s="20"/>
      <c r="F1" s="21" t="s">
        <v>664</v>
      </c>
      <c r="G1" s="20"/>
      <c r="H1" s="22"/>
      <c r="I1" s="14"/>
      <c r="J1" s="14"/>
      <c r="K1" s="14"/>
      <c r="L1" s="14"/>
      <c r="M1" s="14"/>
    </row>
    <row r="2" spans="1:14" s="1" customFormat="1" x14ac:dyDescent="0.2">
      <c r="A2" s="7" t="s">
        <v>5</v>
      </c>
      <c r="B2" s="19"/>
      <c r="D2" s="22"/>
      <c r="F2" s="30" t="s">
        <v>1</v>
      </c>
      <c r="G2" s="30"/>
      <c r="J2" s="7"/>
      <c r="L2" s="7"/>
      <c r="M2" s="14"/>
      <c r="N2" s="23" t="s">
        <v>6</v>
      </c>
    </row>
    <row r="3" spans="1:14" s="1" customFormat="1" x14ac:dyDescent="0.2">
      <c r="A3" s="24" t="s">
        <v>7</v>
      </c>
      <c r="E3" s="14"/>
      <c r="F3" s="14"/>
      <c r="G3" s="14"/>
      <c r="H3" s="14"/>
      <c r="J3" s="7"/>
      <c r="L3" s="7"/>
      <c r="M3" s="14"/>
      <c r="N3" s="25" t="s">
        <v>0</v>
      </c>
    </row>
    <row r="4" spans="1:14" s="1" customFormat="1" ht="51" customHeight="1" x14ac:dyDescent="0.2">
      <c r="A4" s="77" t="s">
        <v>23</v>
      </c>
      <c r="B4" s="77"/>
      <c r="C4" s="77"/>
      <c r="F4" s="26" t="s">
        <v>24</v>
      </c>
      <c r="G4" s="14"/>
      <c r="I4" s="78" t="s">
        <v>23</v>
      </c>
      <c r="J4" s="78"/>
      <c r="K4" s="78"/>
      <c r="L4" s="78"/>
      <c r="M4" s="78"/>
      <c r="N4" s="78"/>
    </row>
    <row r="5" spans="1:14" s="1" customFormat="1" x14ac:dyDescent="0.2">
      <c r="A5" s="14"/>
      <c r="B5" s="14"/>
      <c r="C5" s="14"/>
      <c r="F5" s="14" t="s">
        <v>2</v>
      </c>
      <c r="G5" s="14"/>
      <c r="I5" s="14"/>
      <c r="J5" s="14"/>
      <c r="K5" s="14"/>
      <c r="L5" s="14"/>
      <c r="M5" s="14"/>
    </row>
    <row r="6" spans="1:14" s="1" customFormat="1" x14ac:dyDescent="0.2">
      <c r="A6" s="14"/>
      <c r="B6" s="14"/>
      <c r="C6" s="14"/>
      <c r="E6" s="14"/>
      <c r="F6" s="14"/>
      <c r="G6" s="14"/>
      <c r="H6" s="14"/>
      <c r="I6" s="14"/>
      <c r="J6" s="14"/>
      <c r="K6" s="14"/>
      <c r="L6" s="14"/>
      <c r="M6" s="14"/>
    </row>
    <row r="7" spans="1:14" s="1" customFormat="1" x14ac:dyDescent="0.2">
      <c r="A7" s="14"/>
      <c r="B7" s="14"/>
      <c r="C7" s="27"/>
      <c r="D7" s="28" t="s">
        <v>666</v>
      </c>
      <c r="E7" s="29"/>
      <c r="F7" s="29"/>
      <c r="G7" s="29"/>
      <c r="H7" s="29"/>
      <c r="I7" s="30"/>
      <c r="J7" s="30"/>
      <c r="K7" s="30"/>
      <c r="L7" s="30"/>
      <c r="M7" s="14"/>
    </row>
    <row r="8" spans="1:14" s="1" customFormat="1" x14ac:dyDescent="0.2">
      <c r="A8" s="14"/>
      <c r="B8" s="14"/>
      <c r="C8" s="14"/>
      <c r="D8" s="31" t="s">
        <v>21</v>
      </c>
      <c r="E8" s="30"/>
      <c r="F8" s="30"/>
      <c r="G8" s="30"/>
      <c r="I8" s="30"/>
      <c r="J8" s="30"/>
      <c r="K8" s="30"/>
      <c r="L8" s="30"/>
      <c r="M8" s="14"/>
    </row>
    <row r="9" spans="1:14" s="1" customFormat="1" ht="7.5" customHeight="1" x14ac:dyDescent="0.2">
      <c r="A9" s="14"/>
      <c r="B9" s="14"/>
      <c r="C9" s="14"/>
      <c r="E9" s="14"/>
      <c r="F9" s="14"/>
      <c r="G9" s="14"/>
      <c r="H9" s="14"/>
      <c r="I9" s="14"/>
      <c r="J9" s="14"/>
      <c r="M9" s="14"/>
    </row>
    <row r="10" spans="1:14" x14ac:dyDescent="0.2">
      <c r="A10" s="79" t="s">
        <v>665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x14ac:dyDescent="0.2">
      <c r="A11" s="5" t="s">
        <v>10</v>
      </c>
      <c r="B11" s="6"/>
      <c r="C11" s="80">
        <v>5127126</v>
      </c>
      <c r="D11" s="80"/>
      <c r="E11" s="80"/>
      <c r="F11" s="7" t="s">
        <v>9</v>
      </c>
      <c r="G11" s="8"/>
      <c r="H11" s="8"/>
      <c r="I11" s="8"/>
      <c r="J11" s="94" t="s">
        <v>667</v>
      </c>
      <c r="K11" s="95"/>
      <c r="L11" s="95"/>
      <c r="M11" s="95"/>
      <c r="N11" s="96"/>
    </row>
    <row r="12" spans="1:14" x14ac:dyDescent="0.2">
      <c r="A12" s="5" t="s">
        <v>20</v>
      </c>
      <c r="B12" s="6"/>
      <c r="C12" s="9"/>
      <c r="D12" s="81">
        <v>932330</v>
      </c>
      <c r="E12" s="81"/>
      <c r="F12" s="7" t="s">
        <v>9</v>
      </c>
      <c r="G12" s="8"/>
      <c r="H12" s="8"/>
      <c r="I12" s="8"/>
      <c r="J12" s="95"/>
      <c r="K12" s="95"/>
      <c r="L12" s="95"/>
      <c r="M12" s="95"/>
      <c r="N12" s="96"/>
    </row>
    <row r="13" spans="1:14" x14ac:dyDescent="0.2">
      <c r="A13" s="5" t="s">
        <v>661</v>
      </c>
      <c r="B13" s="2"/>
      <c r="C13" s="10"/>
      <c r="D13" s="11"/>
      <c r="E13" s="12"/>
      <c r="F13" s="33"/>
      <c r="G13" s="13"/>
      <c r="H13" s="13"/>
      <c r="I13" s="8"/>
      <c r="J13" s="95"/>
      <c r="K13" s="95"/>
      <c r="L13" s="95"/>
      <c r="M13" s="95"/>
      <c r="N13" s="96"/>
    </row>
    <row r="14" spans="1:14" ht="11.25" customHeight="1" x14ac:dyDescent="0.2">
      <c r="A14" s="14"/>
      <c r="B14" s="7"/>
      <c r="C14" s="7"/>
      <c r="D14" s="14"/>
      <c r="E14" s="8"/>
      <c r="F14" s="8"/>
      <c r="G14" s="8"/>
      <c r="H14" s="9"/>
      <c r="I14" s="8"/>
      <c r="J14" s="8"/>
      <c r="K14" s="8"/>
      <c r="L14" s="8"/>
      <c r="M14" s="8"/>
      <c r="N14" s="2" t="s">
        <v>9</v>
      </c>
    </row>
    <row r="15" spans="1:14" ht="12.75" customHeight="1" x14ac:dyDescent="0.2">
      <c r="A15" s="73" t="s">
        <v>3</v>
      </c>
      <c r="B15" s="73" t="s">
        <v>17</v>
      </c>
      <c r="C15" s="75" t="s">
        <v>22</v>
      </c>
      <c r="D15" s="75" t="s">
        <v>18</v>
      </c>
      <c r="E15" s="86" t="s">
        <v>662</v>
      </c>
      <c r="F15" s="87"/>
      <c r="G15" s="88"/>
      <c r="H15" s="75" t="s">
        <v>4</v>
      </c>
      <c r="I15" s="86" t="s">
        <v>663</v>
      </c>
      <c r="J15" s="92"/>
      <c r="K15" s="92"/>
      <c r="L15" s="83"/>
      <c r="M15" s="82" t="s">
        <v>19</v>
      </c>
      <c r="N15" s="83"/>
    </row>
    <row r="16" spans="1:14" s="4" customFormat="1" ht="38.25" customHeight="1" x14ac:dyDescent="0.2">
      <c r="A16" s="76"/>
      <c r="B16" s="76"/>
      <c r="C16" s="76"/>
      <c r="D16" s="76"/>
      <c r="E16" s="89"/>
      <c r="F16" s="90"/>
      <c r="G16" s="91"/>
      <c r="H16" s="76"/>
      <c r="I16" s="84"/>
      <c r="J16" s="93"/>
      <c r="K16" s="93"/>
      <c r="L16" s="85"/>
      <c r="M16" s="84"/>
      <c r="N16" s="85"/>
    </row>
    <row r="17" spans="1:35" s="4" customFormat="1" ht="12.75" customHeight="1" x14ac:dyDescent="0.2">
      <c r="A17" s="76"/>
      <c r="B17" s="76"/>
      <c r="C17" s="76"/>
      <c r="D17" s="76"/>
      <c r="E17" s="34" t="s">
        <v>12</v>
      </c>
      <c r="F17" s="34" t="s">
        <v>14</v>
      </c>
      <c r="G17" s="75" t="s">
        <v>16</v>
      </c>
      <c r="H17" s="76"/>
      <c r="I17" s="75" t="s">
        <v>12</v>
      </c>
      <c r="J17" s="75" t="s">
        <v>15</v>
      </c>
      <c r="K17" s="34" t="s">
        <v>14</v>
      </c>
      <c r="L17" s="75" t="s">
        <v>16</v>
      </c>
      <c r="M17" s="73" t="s">
        <v>8</v>
      </c>
      <c r="N17" s="75" t="s">
        <v>12</v>
      </c>
    </row>
    <row r="18" spans="1:35" s="4" customFormat="1" ht="11.25" customHeight="1" x14ac:dyDescent="0.2">
      <c r="A18" s="74"/>
      <c r="B18" s="74"/>
      <c r="C18" s="74"/>
      <c r="D18" s="74"/>
      <c r="E18" s="35" t="s">
        <v>11</v>
      </c>
      <c r="F18" s="34" t="s">
        <v>13</v>
      </c>
      <c r="G18" s="74"/>
      <c r="H18" s="74"/>
      <c r="I18" s="74"/>
      <c r="J18" s="74"/>
      <c r="K18" s="34" t="s">
        <v>13</v>
      </c>
      <c r="L18" s="74"/>
      <c r="M18" s="74"/>
      <c r="N18" s="74"/>
    </row>
    <row r="19" spans="1:35" x14ac:dyDescent="0.2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7</v>
      </c>
      <c r="I19" s="40">
        <v>8</v>
      </c>
      <c r="J19" s="40">
        <v>9</v>
      </c>
      <c r="K19" s="40">
        <v>10</v>
      </c>
      <c r="L19" s="40">
        <v>12</v>
      </c>
      <c r="M19" s="40">
        <v>11</v>
      </c>
      <c r="N19" s="40">
        <v>12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41"/>
      <c r="AB19" s="42"/>
      <c r="AC19" s="42"/>
      <c r="AD19" s="42"/>
      <c r="AE19" s="42"/>
      <c r="AF19" s="43"/>
      <c r="AG19" s="42"/>
      <c r="AH19" s="42"/>
      <c r="AI19" s="42"/>
    </row>
    <row r="20" spans="1:35" ht="21" customHeight="1" x14ac:dyDescent="0.2">
      <c r="A20" s="70" t="s">
        <v>26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114.75" x14ac:dyDescent="0.2">
      <c r="A21" s="44">
        <v>1</v>
      </c>
      <c r="B21" s="45" t="s">
        <v>27</v>
      </c>
      <c r="C21" s="46" t="str">
        <f t="shared" ref="C21:C32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18483 руб. НР 84%=110%*(0,85*0,9) от ФОТ (22004 руб.)
10562 руб.СП 48%=70%*(0,8*0,85) от ФОТ (22004 руб.)
</v>
      </c>
      <c r="D21" s="44">
        <v>10.5</v>
      </c>
      <c r="E21" s="47" t="s">
        <v>28</v>
      </c>
      <c r="F21" s="47">
        <v>30.64</v>
      </c>
      <c r="G21" s="47"/>
      <c r="H21" s="58" t="s">
        <v>29</v>
      </c>
      <c r="I21" s="48">
        <v>22967</v>
      </c>
      <c r="J21" s="47">
        <v>22004</v>
      </c>
      <c r="K21" s="47">
        <v>963</v>
      </c>
      <c r="L21" s="47" t="str">
        <f>IF(10.5*0=0," ",TEXT(,ROUND((10.5*0*1),2)))</f>
        <v xml:space="preserve"> </v>
      </c>
      <c r="M21" s="47">
        <v>15.9</v>
      </c>
      <c r="N21" s="47">
        <v>166.95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 t="s">
        <v>30</v>
      </c>
      <c r="AB21" s="50" t="s">
        <v>31</v>
      </c>
      <c r="AC21" s="50">
        <v>18483</v>
      </c>
      <c r="AD21" s="50">
        <v>10562</v>
      </c>
      <c r="AE21" s="50"/>
      <c r="AF21" s="51" t="s">
        <v>32</v>
      </c>
      <c r="AG21" s="50" t="s">
        <v>33</v>
      </c>
      <c r="AH21" s="50"/>
      <c r="AI21" s="50">
        <f>22004+0</f>
        <v>22004</v>
      </c>
    </row>
    <row r="22" spans="1:35" ht="102" x14ac:dyDescent="0.2">
      <c r="A22" s="44">
        <v>2</v>
      </c>
      <c r="B22" s="45" t="s">
        <v>34</v>
      </c>
      <c r="C22" s="46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2628 руб. НР 71%=83%*0,85 от ФОТ (3701 руб.)
1925 руб.СП 52%=65%*0,8 от ФОТ (3701 руб.)
</v>
      </c>
      <c r="D22" s="44" t="s">
        <v>35</v>
      </c>
      <c r="E22" s="47" t="s">
        <v>36</v>
      </c>
      <c r="F22" s="47">
        <v>0.2</v>
      </c>
      <c r="G22" s="47"/>
      <c r="H22" s="58" t="s">
        <v>37</v>
      </c>
      <c r="I22" s="48">
        <v>3705</v>
      </c>
      <c r="J22" s="47">
        <v>3701</v>
      </c>
      <c r="K22" s="47">
        <v>5</v>
      </c>
      <c r="L22" s="47" t="str">
        <f>IF(3.0824*0=0," ",TEXT(,ROUND((3.0824*0*1),2)))</f>
        <v xml:space="preserve"> </v>
      </c>
      <c r="M22" s="47">
        <v>9.1</v>
      </c>
      <c r="N22" s="47">
        <v>28.05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 t="s">
        <v>38</v>
      </c>
      <c r="AB22" s="50" t="s">
        <v>39</v>
      </c>
      <c r="AC22" s="50">
        <v>2628</v>
      </c>
      <c r="AD22" s="50">
        <v>1925</v>
      </c>
      <c r="AE22" s="50"/>
      <c r="AF22" s="51" t="s">
        <v>40</v>
      </c>
      <c r="AG22" s="50" t="s">
        <v>41</v>
      </c>
      <c r="AH22" s="50"/>
      <c r="AI22" s="50">
        <f>3701+0</f>
        <v>3701</v>
      </c>
    </row>
    <row r="23" spans="1:35" ht="89.25" x14ac:dyDescent="0.2">
      <c r="A23" s="44">
        <v>3</v>
      </c>
      <c r="B23" s="45" t="s">
        <v>42</v>
      </c>
      <c r="C23" s="46" t="str">
        <f t="shared" ca="1" si="0"/>
        <v xml:space="preserve">Разборка слуховых окон: прямоугольных двускатных
100 окон
972 руб. НР 71%=83%*0,85 от ФОТ (1369 руб.)
712 руб.СП 52%=65%*0,8 от ФОТ (1369 руб.)
</v>
      </c>
      <c r="D23" s="44">
        <v>0.03</v>
      </c>
      <c r="E23" s="47" t="s">
        <v>43</v>
      </c>
      <c r="F23" s="47">
        <v>10.37</v>
      </c>
      <c r="G23" s="47"/>
      <c r="H23" s="58" t="s">
        <v>44</v>
      </c>
      <c r="I23" s="48">
        <v>1370</v>
      </c>
      <c r="J23" s="47">
        <v>1369</v>
      </c>
      <c r="K23" s="47"/>
      <c r="L23" s="47" t="str">
        <f>IF(0.03*0=0," ",TEXT(,ROUND((0.03*0*1),2)))</f>
        <v xml:space="preserve"> </v>
      </c>
      <c r="M23" s="47">
        <v>341.3</v>
      </c>
      <c r="N23" s="47">
        <v>10.24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 t="s">
        <v>38</v>
      </c>
      <c r="AB23" s="50" t="s">
        <v>39</v>
      </c>
      <c r="AC23" s="50">
        <v>972</v>
      </c>
      <c r="AD23" s="50">
        <v>712</v>
      </c>
      <c r="AE23" s="50"/>
      <c r="AF23" s="51" t="s">
        <v>45</v>
      </c>
      <c r="AG23" s="50" t="s">
        <v>46</v>
      </c>
      <c r="AH23" s="50"/>
      <c r="AI23" s="50">
        <f>1369+0</f>
        <v>1369</v>
      </c>
    </row>
    <row r="24" spans="1:35" ht="89.25" x14ac:dyDescent="0.2">
      <c r="A24" s="44">
        <v>4</v>
      </c>
      <c r="B24" s="45" t="s">
        <v>47</v>
      </c>
      <c r="C24" s="46" t="str">
        <f t="shared" ca="1" si="0"/>
        <v xml:space="preserve">Разборка деревянных элементов конструкций крыш: обрешетки из брусков с прозорами
100 м2 кровли
16571 руб. НР 71%=83%*0,85 от ФОТ (23339 руб.)
12136 руб.СП 52%=65%*0,8 от ФОТ (23339 руб.)
</v>
      </c>
      <c r="D24" s="44">
        <v>10.91</v>
      </c>
      <c r="E24" s="47" t="s">
        <v>48</v>
      </c>
      <c r="F24" s="47" t="s">
        <v>49</v>
      </c>
      <c r="G24" s="47"/>
      <c r="H24" s="58" t="s">
        <v>50</v>
      </c>
      <c r="I24" s="48">
        <v>27450</v>
      </c>
      <c r="J24" s="47">
        <v>22190</v>
      </c>
      <c r="K24" s="47" t="s">
        <v>51</v>
      </c>
      <c r="L24" s="47" t="str">
        <f>IF(10.91*0=0," ",TEXT(,ROUND((10.91*0*1),2)))</f>
        <v xml:space="preserve"> </v>
      </c>
      <c r="M24" s="47" t="s">
        <v>52</v>
      </c>
      <c r="N24" s="47" t="s">
        <v>53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 t="s">
        <v>38</v>
      </c>
      <c r="AB24" s="50" t="s">
        <v>39</v>
      </c>
      <c r="AC24" s="50">
        <v>16571</v>
      </c>
      <c r="AD24" s="50">
        <v>12136</v>
      </c>
      <c r="AE24" s="50"/>
      <c r="AF24" s="51" t="s">
        <v>54</v>
      </c>
      <c r="AG24" s="50" t="s">
        <v>55</v>
      </c>
      <c r="AH24" s="50"/>
      <c r="AI24" s="50">
        <f>22190+1149</f>
        <v>23339</v>
      </c>
    </row>
    <row r="25" spans="1:35" ht="102" x14ac:dyDescent="0.2">
      <c r="A25" s="44">
        <v>5</v>
      </c>
      <c r="B25" s="45" t="s">
        <v>56</v>
      </c>
      <c r="C25" s="46" t="str">
        <f t="shared" ca="1" si="0"/>
        <v xml:space="preserve">Разборка деревянных элементов конструкций крыш: стропил со стойками и подкосами из досок
100 м2 кровли
24538 руб. НР 71%=83%*0,85 от ФОТ (34561 руб.)
17972 руб.СП 52%=65%*0,8 от ФОТ (34561 руб.)
</v>
      </c>
      <c r="D25" s="44">
        <v>10.91</v>
      </c>
      <c r="E25" s="47" t="s">
        <v>57</v>
      </c>
      <c r="F25" s="47" t="s">
        <v>58</v>
      </c>
      <c r="G25" s="47"/>
      <c r="H25" s="58" t="s">
        <v>50</v>
      </c>
      <c r="I25" s="48">
        <v>37143</v>
      </c>
      <c r="J25" s="47">
        <v>33834</v>
      </c>
      <c r="K25" s="47" t="s">
        <v>59</v>
      </c>
      <c r="L25" s="47" t="str">
        <f>IF(10.91*0=0," ",TEXT(,ROUND((10.91*0*1),2)))</f>
        <v xml:space="preserve"> </v>
      </c>
      <c r="M25" s="47" t="s">
        <v>60</v>
      </c>
      <c r="N25" s="47" t="s">
        <v>61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 t="s">
        <v>38</v>
      </c>
      <c r="AB25" s="50" t="s">
        <v>39</v>
      </c>
      <c r="AC25" s="50">
        <v>24538</v>
      </c>
      <c r="AD25" s="50">
        <v>17972</v>
      </c>
      <c r="AE25" s="50"/>
      <c r="AF25" s="51" t="s">
        <v>62</v>
      </c>
      <c r="AG25" s="50" t="s">
        <v>55</v>
      </c>
      <c r="AH25" s="50"/>
      <c r="AI25" s="50">
        <f>33834+727</f>
        <v>34561</v>
      </c>
    </row>
    <row r="26" spans="1:35" ht="89.25" x14ac:dyDescent="0.2">
      <c r="A26" s="44">
        <v>6</v>
      </c>
      <c r="B26" s="45" t="s">
        <v>63</v>
      </c>
      <c r="C26" s="46" t="str">
        <f t="shared" ca="1" si="0"/>
        <v xml:space="preserve">Разборка деревянных элементов конструкций крыш: мауэрлатов
100 м2 кровли
7476 руб. НР 71%=83%*0,85 от ФОТ (10529 руб.)
5475 руб.СП 52%=65%*0,8 от ФОТ (10529 руб.)
</v>
      </c>
      <c r="D26" s="44">
        <v>10.91</v>
      </c>
      <c r="E26" s="47" t="s">
        <v>64</v>
      </c>
      <c r="F26" s="47" t="s">
        <v>65</v>
      </c>
      <c r="G26" s="47"/>
      <c r="H26" s="58" t="s">
        <v>50</v>
      </c>
      <c r="I26" s="48">
        <v>12944</v>
      </c>
      <c r="J26" s="47">
        <v>9853</v>
      </c>
      <c r="K26" s="47" t="s">
        <v>66</v>
      </c>
      <c r="L26" s="47" t="str">
        <f>IF(10.91*0=0," ",TEXT(,ROUND((10.91*0*1),2)))</f>
        <v xml:space="preserve"> </v>
      </c>
      <c r="M26" s="47" t="s">
        <v>67</v>
      </c>
      <c r="N26" s="47" t="s">
        <v>68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 t="s">
        <v>38</v>
      </c>
      <c r="AB26" s="50" t="s">
        <v>39</v>
      </c>
      <c r="AC26" s="50">
        <v>7476</v>
      </c>
      <c r="AD26" s="50">
        <v>5475</v>
      </c>
      <c r="AE26" s="50"/>
      <c r="AF26" s="51" t="s">
        <v>69</v>
      </c>
      <c r="AG26" s="50" t="s">
        <v>55</v>
      </c>
      <c r="AH26" s="50"/>
      <c r="AI26" s="50">
        <f>9853+676</f>
        <v>10529</v>
      </c>
    </row>
    <row r="27" spans="1:35" ht="140.25" x14ac:dyDescent="0.2">
      <c r="A27" s="44">
        <v>7</v>
      </c>
      <c r="B27" s="45" t="s">
        <v>70</v>
      </c>
      <c r="C27" s="46" t="str">
        <f t="shared" ca="1" si="0"/>
        <v xml:space="preserve">Демонтаж ограждения кровель перилами
100 м ограждения
(Демонтаж (разборка) металлических конструкций ОЗП=0,7; ЭМ=0,7 к расх.; ЗПМ=0,7; МАТ=0 к расх.; ТЗ=0,7; ТЗМ=0,7)
1027 руб. НР 92%=120%*(0,85*0,9) от ФОТ (1116 руб.)
491 руб.СП 44%=65%*(0,8*0,85) от ФОТ (1116 руб.)
</v>
      </c>
      <c r="D27" s="44">
        <v>1.4950000000000001</v>
      </c>
      <c r="E27" s="47" t="s">
        <v>71</v>
      </c>
      <c r="F27" s="47" t="s">
        <v>72</v>
      </c>
      <c r="G27" s="47"/>
      <c r="H27" s="58" t="s">
        <v>73</v>
      </c>
      <c r="I27" s="48">
        <v>1634</v>
      </c>
      <c r="J27" s="47">
        <v>1048</v>
      </c>
      <c r="K27" s="47" t="s">
        <v>74</v>
      </c>
      <c r="L27" s="47" t="str">
        <f>IF(1.495*0=0," ",TEXT(,ROUND((1.495*0*7.51),2)))</f>
        <v xml:space="preserve"> </v>
      </c>
      <c r="M27" s="47" t="s">
        <v>75</v>
      </c>
      <c r="N27" s="47" t="s">
        <v>76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 t="s">
        <v>77</v>
      </c>
      <c r="AB27" s="50" t="s">
        <v>78</v>
      </c>
      <c r="AC27" s="50">
        <v>1027</v>
      </c>
      <c r="AD27" s="50">
        <v>491</v>
      </c>
      <c r="AE27" s="50" t="s">
        <v>79</v>
      </c>
      <c r="AF27" s="51" t="s">
        <v>80</v>
      </c>
      <c r="AG27" s="50" t="s">
        <v>81</v>
      </c>
      <c r="AH27" s="50"/>
      <c r="AI27" s="50">
        <f>1048+68</f>
        <v>1116</v>
      </c>
    </row>
    <row r="28" spans="1:35" ht="140.25" x14ac:dyDescent="0.2">
      <c r="A28" s="44">
        <v>8</v>
      </c>
      <c r="B28" s="45" t="s">
        <v>82</v>
      </c>
      <c r="C28" s="46" t="str">
        <f t="shared" ca="1" si="0"/>
        <v xml:space="preserve">Демонтаж люков в перекрытиях, площадь проема до 2 м2
100 м2 проемов
(Демонтаж (разборка) сборных деревянных конструкций ОЗП=0,8; ЭМ=0,8 к расх.; ЗПМ=0,8; МАТ=0 к расх.; ТЗ=0,8; ТЗМ=0,8)
411 руб. НР 90%=118%*(0,85*0,9) от ФОТ (457 руб.)
197 руб.СП 43%=63%*(0,8*0,85) от ФОТ (457 руб.)
</v>
      </c>
      <c r="D28" s="44">
        <v>2.8799999999999999E-2</v>
      </c>
      <c r="E28" s="47" t="s">
        <v>83</v>
      </c>
      <c r="F28" s="47" t="s">
        <v>84</v>
      </c>
      <c r="G28" s="47"/>
      <c r="H28" s="58" t="s">
        <v>85</v>
      </c>
      <c r="I28" s="48">
        <v>682</v>
      </c>
      <c r="J28" s="47">
        <v>406</v>
      </c>
      <c r="K28" s="47" t="s">
        <v>86</v>
      </c>
      <c r="L28" s="47" t="str">
        <f>IF(0.0288*0=0," ",TEXT(,ROUND((0.0288*0*8.18),2)))</f>
        <v xml:space="preserve"> </v>
      </c>
      <c r="M28" s="47" t="s">
        <v>87</v>
      </c>
      <c r="N28" s="47" t="s">
        <v>88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 t="s">
        <v>89</v>
      </c>
      <c r="AB28" s="50" t="s">
        <v>90</v>
      </c>
      <c r="AC28" s="50">
        <v>411</v>
      </c>
      <c r="AD28" s="50">
        <v>197</v>
      </c>
      <c r="AE28" s="50" t="s">
        <v>91</v>
      </c>
      <c r="AF28" s="51" t="s">
        <v>92</v>
      </c>
      <c r="AG28" s="50" t="s">
        <v>93</v>
      </c>
      <c r="AH28" s="50"/>
      <c r="AI28" s="50">
        <f>406+51</f>
        <v>457</v>
      </c>
    </row>
    <row r="29" spans="1:35" ht="102" x14ac:dyDescent="0.2">
      <c r="A29" s="44">
        <v>9</v>
      </c>
      <c r="B29" s="45" t="s">
        <v>94</v>
      </c>
      <c r="C29" s="46" t="str">
        <f t="shared" ca="1" si="0"/>
        <v xml:space="preserve">Разборка: кирпичных стен
1 м3
6431 руб. НР 84%=110%*(0,85*0,9) от ФОТ (7656 руб.)
3675 руб.СП 48%=70%*(0,8*0,85) от ФОТ (7656 руб.)
</v>
      </c>
      <c r="D29" s="44">
        <v>5.36</v>
      </c>
      <c r="E29" s="47" t="s">
        <v>95</v>
      </c>
      <c r="F29" s="47" t="s">
        <v>96</v>
      </c>
      <c r="G29" s="47"/>
      <c r="H29" s="58" t="s">
        <v>97</v>
      </c>
      <c r="I29" s="48">
        <v>10873</v>
      </c>
      <c r="J29" s="47">
        <v>6608</v>
      </c>
      <c r="K29" s="47" t="s">
        <v>98</v>
      </c>
      <c r="L29" s="47" t="str">
        <f>IF(5.36*0=0," ",TEXT(,ROUND((5.36*0*1),2)))</f>
        <v xml:space="preserve"> </v>
      </c>
      <c r="M29" s="47" t="s">
        <v>99</v>
      </c>
      <c r="N29" s="47" t="s">
        <v>100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 t="s">
        <v>30</v>
      </c>
      <c r="AB29" s="50" t="s">
        <v>31</v>
      </c>
      <c r="AC29" s="50">
        <v>6431</v>
      </c>
      <c r="AD29" s="50">
        <v>3675</v>
      </c>
      <c r="AE29" s="50"/>
      <c r="AF29" s="51" t="s">
        <v>101</v>
      </c>
      <c r="AG29" s="50" t="s">
        <v>102</v>
      </c>
      <c r="AH29" s="50"/>
      <c r="AI29" s="50">
        <f>6608+1048</f>
        <v>7656</v>
      </c>
    </row>
    <row r="30" spans="1:35" ht="89.25" x14ac:dyDescent="0.2">
      <c r="A30" s="44">
        <v>10</v>
      </c>
      <c r="B30" s="45" t="s">
        <v>103</v>
      </c>
      <c r="C30" s="46" t="str">
        <f t="shared" ca="1" si="0"/>
        <v xml:space="preserve">Затаривание строительного мусора в мешки Шлак
1 т
6904 руб. НР 66%=78%*0,85 от ФОТ (10461 руб.)
4184 руб.СП 40%=50%*0,8 от ФОТ (10461 руб.)
</v>
      </c>
      <c r="D30" s="44" t="s">
        <v>104</v>
      </c>
      <c r="E30" s="47" t="s">
        <v>105</v>
      </c>
      <c r="F30" s="47"/>
      <c r="G30" s="47">
        <v>16.399999999999999</v>
      </c>
      <c r="H30" s="58" t="s">
        <v>106</v>
      </c>
      <c r="I30" s="48">
        <v>20564</v>
      </c>
      <c r="J30" s="47">
        <v>10461</v>
      </c>
      <c r="K30" s="47"/>
      <c r="L30" s="47" t="str">
        <f>IF(83.49*16.4=0," ",TEXT(,ROUND((83.49*16.4*7.38),2)))</f>
        <v>10104.96</v>
      </c>
      <c r="M30" s="47">
        <v>1.03</v>
      </c>
      <c r="N30" s="47">
        <v>85.99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 t="s">
        <v>107</v>
      </c>
      <c r="AB30" s="50" t="s">
        <v>108</v>
      </c>
      <c r="AC30" s="50">
        <v>6904</v>
      </c>
      <c r="AD30" s="50">
        <v>4184</v>
      </c>
      <c r="AE30" s="50"/>
      <c r="AF30" s="51" t="s">
        <v>109</v>
      </c>
      <c r="AG30" s="50" t="s">
        <v>110</v>
      </c>
      <c r="AH30" s="50"/>
      <c r="AI30" s="50">
        <f>10461+0</f>
        <v>10461</v>
      </c>
    </row>
    <row r="31" spans="1:35" ht="76.5" x14ac:dyDescent="0.2">
      <c r="A31" s="44">
        <v>11</v>
      </c>
      <c r="B31" s="45" t="s">
        <v>111</v>
      </c>
      <c r="C31" s="46" t="str">
        <f t="shared" ca="1" si="0"/>
        <v xml:space="preserve">Прочистка вентиляционных каналов
100 м канала
2512 руб. НР 63%=74%*0,85 от ФОТ (3988 руб.)
1595 руб.СП 40%=50%*0,8 от ФОТ (3988 руб.)
</v>
      </c>
      <c r="D31" s="44">
        <v>1.48</v>
      </c>
      <c r="E31" s="47" t="s">
        <v>112</v>
      </c>
      <c r="F31" s="47" t="s">
        <v>113</v>
      </c>
      <c r="G31" s="47">
        <v>29.24</v>
      </c>
      <c r="H31" s="58" t="s">
        <v>114</v>
      </c>
      <c r="I31" s="48">
        <v>4203</v>
      </c>
      <c r="J31" s="47">
        <v>3988</v>
      </c>
      <c r="K31" s="47"/>
      <c r="L31" s="47" t="str">
        <f>IF(1.48*29.24=0," ",TEXT(,ROUND((1.48*29.24*4.96),2)))</f>
        <v>214.64</v>
      </c>
      <c r="M31" s="47" t="s">
        <v>115</v>
      </c>
      <c r="N31" s="47" t="s">
        <v>116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 t="s">
        <v>117</v>
      </c>
      <c r="AB31" s="50" t="s">
        <v>108</v>
      </c>
      <c r="AC31" s="50">
        <v>2512</v>
      </c>
      <c r="AD31" s="50">
        <v>1595</v>
      </c>
      <c r="AE31" s="50"/>
      <c r="AF31" s="51" t="s">
        <v>118</v>
      </c>
      <c r="AG31" s="50" t="s">
        <v>119</v>
      </c>
      <c r="AH31" s="50"/>
      <c r="AI31" s="50">
        <f>3988+0</f>
        <v>3988</v>
      </c>
    </row>
    <row r="32" spans="1:35" ht="76.5" x14ac:dyDescent="0.2">
      <c r="A32" s="52">
        <v>12</v>
      </c>
      <c r="B32" s="53" t="s">
        <v>120</v>
      </c>
      <c r="C32" s="54" t="str">
        <f t="shared" ca="1" si="0"/>
        <v xml:space="preserve">Разборка вентиляционных шахт
1 м2 внутренней поверхности шахты
1065 руб. НР 63%=74%*0,85 от ФОТ (1690 руб.)
676 руб.СП 40%=50%*0,8 от ФОТ (1690 руб.)
</v>
      </c>
      <c r="D32" s="52">
        <v>64</v>
      </c>
      <c r="E32" s="55" t="s">
        <v>121</v>
      </c>
      <c r="F32" s="55"/>
      <c r="G32" s="55"/>
      <c r="H32" s="56" t="s">
        <v>122</v>
      </c>
      <c r="I32" s="57">
        <v>1690</v>
      </c>
      <c r="J32" s="55">
        <v>1690</v>
      </c>
      <c r="K32" s="55"/>
      <c r="L32" s="55" t="str">
        <f>IF(64*0=0," ",TEXT(,ROUND((64*0*1),2)))</f>
        <v xml:space="preserve"> </v>
      </c>
      <c r="M32" s="55">
        <v>0.2</v>
      </c>
      <c r="N32" s="55">
        <v>12.8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 t="s">
        <v>117</v>
      </c>
      <c r="AB32" s="50" t="s">
        <v>108</v>
      </c>
      <c r="AC32" s="50">
        <v>1065</v>
      </c>
      <c r="AD32" s="50">
        <v>676</v>
      </c>
      <c r="AE32" s="50"/>
      <c r="AF32" s="51" t="s">
        <v>123</v>
      </c>
      <c r="AG32" s="50" t="s">
        <v>124</v>
      </c>
      <c r="AH32" s="50"/>
      <c r="AI32" s="50">
        <f>1690+0</f>
        <v>1690</v>
      </c>
    </row>
    <row r="33" spans="1:35" ht="25.5" x14ac:dyDescent="0.2">
      <c r="A33" s="72" t="s">
        <v>125</v>
      </c>
      <c r="B33" s="65"/>
      <c r="C33" s="65"/>
      <c r="D33" s="65"/>
      <c r="E33" s="65"/>
      <c r="F33" s="65"/>
      <c r="G33" s="65"/>
      <c r="H33" s="65"/>
      <c r="I33" s="48">
        <v>10285</v>
      </c>
      <c r="J33" s="47">
        <v>6932</v>
      </c>
      <c r="K33" s="47" t="s">
        <v>126</v>
      </c>
      <c r="L33" s="47">
        <v>1412</v>
      </c>
      <c r="M33" s="47"/>
      <c r="N33" s="47" t="s">
        <v>127</v>
      </c>
      <c r="O33" s="17"/>
      <c r="P33" s="18"/>
      <c r="Q33" s="17"/>
      <c r="R33" s="17"/>
      <c r="S33" s="17"/>
      <c r="T33" s="17"/>
      <c r="U33" s="17"/>
      <c r="V33" s="17"/>
      <c r="W33" s="17"/>
      <c r="X33" s="17"/>
      <c r="Y33" s="17"/>
      <c r="Z33" s="17"/>
      <c r="AF33" s="4"/>
    </row>
    <row r="34" spans="1:35" ht="25.5" x14ac:dyDescent="0.2">
      <c r="A34" s="72" t="s">
        <v>128</v>
      </c>
      <c r="B34" s="65"/>
      <c r="C34" s="65"/>
      <c r="D34" s="65"/>
      <c r="E34" s="65"/>
      <c r="F34" s="65"/>
      <c r="G34" s="65"/>
      <c r="H34" s="65"/>
      <c r="I34" s="48">
        <v>145225</v>
      </c>
      <c r="J34" s="47">
        <v>117152</v>
      </c>
      <c r="K34" s="47" t="s">
        <v>129</v>
      </c>
      <c r="L34" s="47">
        <v>10316</v>
      </c>
      <c r="M34" s="47"/>
      <c r="N34" s="47" t="s">
        <v>127</v>
      </c>
      <c r="O34" s="17"/>
      <c r="P34" s="18"/>
      <c r="Q34" s="17"/>
      <c r="R34" s="17"/>
      <c r="S34" s="17"/>
      <c r="T34" s="17"/>
      <c r="U34" s="17"/>
      <c r="V34" s="17"/>
      <c r="W34" s="17"/>
      <c r="X34" s="17"/>
      <c r="Y34" s="17"/>
      <c r="Z34" s="17"/>
      <c r="AF34" s="4"/>
    </row>
    <row r="35" spans="1:35" x14ac:dyDescent="0.2">
      <c r="A35" s="72" t="s">
        <v>130</v>
      </c>
      <c r="B35" s="65"/>
      <c r="C35" s="65"/>
      <c r="D35" s="65"/>
      <c r="E35" s="65"/>
      <c r="F35" s="65"/>
      <c r="G35" s="65"/>
      <c r="H35" s="65"/>
      <c r="I35" s="48">
        <v>89017</v>
      </c>
      <c r="J35" s="47"/>
      <c r="K35" s="47"/>
      <c r="L35" s="47"/>
      <c r="M35" s="47"/>
      <c r="N35" s="47"/>
      <c r="O35" s="17"/>
      <c r="P35" s="18"/>
      <c r="Q35" s="17"/>
      <c r="R35" s="17"/>
      <c r="S35" s="17"/>
      <c r="T35" s="39"/>
      <c r="U35" s="39"/>
      <c r="V35" s="39"/>
      <c r="W35" s="39"/>
      <c r="X35" s="39"/>
      <c r="Y35" s="39"/>
      <c r="Z35" s="39"/>
    </row>
    <row r="36" spans="1:35" x14ac:dyDescent="0.2">
      <c r="A36" s="72" t="s">
        <v>131</v>
      </c>
      <c r="B36" s="65"/>
      <c r="C36" s="65"/>
      <c r="D36" s="65"/>
      <c r="E36" s="65"/>
      <c r="F36" s="65"/>
      <c r="G36" s="65"/>
      <c r="H36" s="65"/>
      <c r="I36" s="48">
        <v>59599</v>
      </c>
      <c r="J36" s="47"/>
      <c r="K36" s="47"/>
      <c r="L36" s="47"/>
      <c r="M36" s="47"/>
      <c r="N36" s="47"/>
      <c r="O36" s="17"/>
      <c r="P36" s="18"/>
      <c r="Q36" s="17"/>
      <c r="R36" s="17"/>
      <c r="S36" s="17"/>
    </row>
    <row r="37" spans="1:35" ht="25.5" x14ac:dyDescent="0.2">
      <c r="A37" s="68" t="s">
        <v>132</v>
      </c>
      <c r="B37" s="69"/>
      <c r="C37" s="69"/>
      <c r="D37" s="69"/>
      <c r="E37" s="69"/>
      <c r="F37" s="69"/>
      <c r="G37" s="69"/>
      <c r="H37" s="69"/>
      <c r="I37" s="59">
        <v>293841</v>
      </c>
      <c r="J37" s="60"/>
      <c r="K37" s="60"/>
      <c r="L37" s="60"/>
      <c r="M37" s="60"/>
      <c r="N37" s="60" t="s">
        <v>127</v>
      </c>
      <c r="O37" s="17"/>
      <c r="P37" s="18"/>
      <c r="Q37" s="17"/>
      <c r="R37" s="17"/>
      <c r="S37" s="17"/>
    </row>
    <row r="38" spans="1:35" ht="21" customHeight="1" x14ac:dyDescent="0.2">
      <c r="A38" s="70" t="s">
        <v>133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</row>
    <row r="39" spans="1:35" ht="114.75" x14ac:dyDescent="0.2">
      <c r="A39" s="44">
        <v>13</v>
      </c>
      <c r="B39" s="45" t="s">
        <v>134</v>
      </c>
      <c r="C39" s="46" t="str">
        <f t="shared" ref="C39:C66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из кирпича: столбов прямоугольных неармированных при высоте этажа до 4 м
1 м3 кладки
2200 руб. НР 93%=122%*(0,85*0,9) от ФОТ (2366 руб.)
1278 руб.СП 54%=80%*(0,8*0,85) от ФОТ (2366 руб.)
</v>
      </c>
      <c r="D39" s="44">
        <v>1.5</v>
      </c>
      <c r="E39" s="47" t="s">
        <v>135</v>
      </c>
      <c r="F39" s="47" t="s">
        <v>136</v>
      </c>
      <c r="G39" s="47">
        <v>822.65</v>
      </c>
      <c r="H39" s="58" t="s">
        <v>137</v>
      </c>
      <c r="I39" s="48">
        <v>8777</v>
      </c>
      <c r="J39" s="47">
        <v>2180</v>
      </c>
      <c r="K39" s="47" t="s">
        <v>138</v>
      </c>
      <c r="L39" s="47" t="str">
        <f>IF(1.5*822.65=0," ",TEXT(,ROUND((1.5*822.65*4.68),2)))</f>
        <v>5775</v>
      </c>
      <c r="M39" s="47" t="s">
        <v>139</v>
      </c>
      <c r="N39" s="47" t="s">
        <v>140</v>
      </c>
      <c r="O39" s="49"/>
      <c r="P39" s="49"/>
      <c r="Q39" s="49"/>
      <c r="R39" s="49"/>
      <c r="S39" s="49"/>
      <c r="T39" s="50"/>
      <c r="U39" s="50"/>
      <c r="V39" s="50"/>
      <c r="W39" s="50"/>
      <c r="X39" s="50"/>
      <c r="Y39" s="50"/>
      <c r="Z39" s="50"/>
      <c r="AA39" s="50" t="s">
        <v>141</v>
      </c>
      <c r="AB39" s="50" t="s">
        <v>142</v>
      </c>
      <c r="AC39" s="50">
        <v>2200</v>
      </c>
      <c r="AD39" s="50">
        <v>1278</v>
      </c>
      <c r="AE39" s="50"/>
      <c r="AF39" s="50" t="s">
        <v>143</v>
      </c>
      <c r="AG39" s="50" t="s">
        <v>144</v>
      </c>
      <c r="AH39" s="50"/>
      <c r="AI39" s="50">
        <f>2180+186</f>
        <v>2366</v>
      </c>
    </row>
    <row r="40" spans="1:35" ht="89.25" x14ac:dyDescent="0.2">
      <c r="A40" s="44">
        <v>14</v>
      </c>
      <c r="B40" s="45" t="s">
        <v>145</v>
      </c>
      <c r="C40" s="46" t="str">
        <f t="shared" ca="1" si="1"/>
        <v xml:space="preserve">Устройство покрытия из рулонных материалов: насухо без промазки кромок
100 м2 кровли
3708 руб. НР 71%=83%*0,85 от ФОТ (5222 руб.)
2715 руб.СП 52%=65%*0,8 от ФОТ (5222 руб.)
</v>
      </c>
      <c r="D40" s="44">
        <v>8.5274999999999999</v>
      </c>
      <c r="E40" s="47" t="s">
        <v>146</v>
      </c>
      <c r="F40" s="47">
        <v>5.23</v>
      </c>
      <c r="G40" s="47">
        <v>883.33</v>
      </c>
      <c r="H40" s="58" t="s">
        <v>147</v>
      </c>
      <c r="I40" s="48">
        <v>43493</v>
      </c>
      <c r="J40" s="47">
        <v>5222</v>
      </c>
      <c r="K40" s="47">
        <v>532</v>
      </c>
      <c r="L40" s="47" t="str">
        <f>IF(8.5275*883.33=0," ",TEXT(,ROUND((8.5275*883.33*5.01),2)))</f>
        <v>37738.31</v>
      </c>
      <c r="M40" s="47">
        <v>4.5199999999999996</v>
      </c>
      <c r="N40" s="47">
        <v>38.54</v>
      </c>
      <c r="O40" s="49"/>
      <c r="P40" s="49"/>
      <c r="Q40" s="49"/>
      <c r="R40" s="49"/>
      <c r="S40" s="49"/>
      <c r="T40" s="50"/>
      <c r="U40" s="50"/>
      <c r="V40" s="50"/>
      <c r="W40" s="50"/>
      <c r="X40" s="50"/>
      <c r="Y40" s="50"/>
      <c r="Z40" s="50"/>
      <c r="AA40" s="50" t="s">
        <v>38</v>
      </c>
      <c r="AB40" s="50" t="s">
        <v>39</v>
      </c>
      <c r="AC40" s="50">
        <v>3708</v>
      </c>
      <c r="AD40" s="50">
        <v>2715</v>
      </c>
      <c r="AE40" s="50"/>
      <c r="AF40" s="50" t="s">
        <v>148</v>
      </c>
      <c r="AG40" s="50" t="s">
        <v>55</v>
      </c>
      <c r="AH40" s="50"/>
      <c r="AI40" s="50">
        <f>5222+0</f>
        <v>5222</v>
      </c>
    </row>
    <row r="41" spans="1:35" ht="63.75" x14ac:dyDescent="0.2">
      <c r="A41" s="44">
        <v>15</v>
      </c>
      <c r="B41" s="45" t="s">
        <v>149</v>
      </c>
      <c r="C41" s="46" t="str">
        <f t="shared" ca="1" si="1"/>
        <v xml:space="preserve">Рубероид кровельный с крупнозернистой посыпкой марки: РКК-350б
м2
</v>
      </c>
      <c r="D41" s="44">
        <v>-980.7</v>
      </c>
      <c r="E41" s="47">
        <v>7.46</v>
      </c>
      <c r="F41" s="47"/>
      <c r="G41" s="47">
        <v>7.46</v>
      </c>
      <c r="H41" s="58" t="s">
        <v>150</v>
      </c>
      <c r="I41" s="48">
        <v>-36609</v>
      </c>
      <c r="J41" s="47"/>
      <c r="K41" s="47"/>
      <c r="L41" s="47" t="str">
        <f>IF(-980.7*7.46=0," ",TEXT(,ROUND((-980.7*7.46*5.004),2)))</f>
        <v>-36609.37</v>
      </c>
      <c r="M41" s="47"/>
      <c r="N41" s="47"/>
      <c r="O41" s="49"/>
      <c r="P41" s="49"/>
      <c r="Q41" s="49"/>
      <c r="R41" s="49"/>
      <c r="S41" s="49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151</v>
      </c>
      <c r="AG41" s="50" t="s">
        <v>152</v>
      </c>
      <c r="AH41" s="50"/>
      <c r="AI41" s="50">
        <f>0+0</f>
        <v>0</v>
      </c>
    </row>
    <row r="42" spans="1:35" ht="63.75" x14ac:dyDescent="0.2">
      <c r="A42" s="44">
        <v>16</v>
      </c>
      <c r="B42" s="45" t="s">
        <v>153</v>
      </c>
      <c r="C42" s="46" t="str">
        <f t="shared" ca="1" si="1"/>
        <v xml:space="preserve">Изоспан: Двухслойная паропроницаемая мембрана марки В 14,62/5,56=2,63
м2
</v>
      </c>
      <c r="D42" s="44">
        <v>980.7</v>
      </c>
      <c r="E42" s="47">
        <v>2.63</v>
      </c>
      <c r="F42" s="47"/>
      <c r="G42" s="47">
        <v>2.63</v>
      </c>
      <c r="H42" s="58" t="s">
        <v>154</v>
      </c>
      <c r="I42" s="48">
        <v>14339</v>
      </c>
      <c r="J42" s="47"/>
      <c r="K42" s="47"/>
      <c r="L42" s="47" t="str">
        <f>IF(980.7*2.63=0," ",TEXT(,ROUND((980.7*2.63*5.56),2)))</f>
        <v>14340.58</v>
      </c>
      <c r="M42" s="47"/>
      <c r="N42" s="47"/>
      <c r="O42" s="49"/>
      <c r="P42" s="49"/>
      <c r="Q42" s="49"/>
      <c r="R42" s="49"/>
      <c r="S42" s="49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 t="s">
        <v>155</v>
      </c>
      <c r="AG42" s="50" t="s">
        <v>152</v>
      </c>
      <c r="AH42" s="50"/>
      <c r="AI42" s="50">
        <f>0+0</f>
        <v>0</v>
      </c>
    </row>
    <row r="43" spans="1:35" ht="127.5" x14ac:dyDescent="0.2">
      <c r="A43" s="44">
        <v>17</v>
      </c>
      <c r="B43" s="45" t="s">
        <v>156</v>
      </c>
      <c r="C43" s="46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61912 руб. НР 92%=120%*(0,85*0,9) от ФОТ (67296 руб.)
29610 руб.СП 44%=65%*(0,8*0,85) от ФОТ (67296 руб.)
</v>
      </c>
      <c r="D43" s="44">
        <v>7.8479999999999999</v>
      </c>
      <c r="E43" s="47" t="s">
        <v>157</v>
      </c>
      <c r="F43" s="47" t="s">
        <v>158</v>
      </c>
      <c r="G43" s="47">
        <v>4146.24</v>
      </c>
      <c r="H43" s="58" t="s">
        <v>159</v>
      </c>
      <c r="I43" s="48">
        <v>297256</v>
      </c>
      <c r="J43" s="47">
        <v>66062</v>
      </c>
      <c r="K43" s="47" t="s">
        <v>160</v>
      </c>
      <c r="L43" s="47" t="str">
        <f>IF(7.848*4146.24=0," ",TEXT(,ROUND((7.848*4146.24*6.74),2)))</f>
        <v>219317.52</v>
      </c>
      <c r="M43" s="47" t="s">
        <v>161</v>
      </c>
      <c r="N43" s="47" t="s">
        <v>162</v>
      </c>
      <c r="O43" s="49"/>
      <c r="P43" s="49"/>
      <c r="Q43" s="49"/>
      <c r="R43" s="49"/>
      <c r="S43" s="49"/>
      <c r="T43" s="50"/>
      <c r="U43" s="50"/>
      <c r="V43" s="50"/>
      <c r="W43" s="50"/>
      <c r="X43" s="50"/>
      <c r="Y43" s="50"/>
      <c r="Z43" s="50"/>
      <c r="AA43" s="50" t="s">
        <v>77</v>
      </c>
      <c r="AB43" s="50" t="s">
        <v>78</v>
      </c>
      <c r="AC43" s="50">
        <v>61912</v>
      </c>
      <c r="AD43" s="50">
        <v>29610</v>
      </c>
      <c r="AE43" s="50"/>
      <c r="AF43" s="50" t="s">
        <v>163</v>
      </c>
      <c r="AG43" s="50" t="s">
        <v>164</v>
      </c>
      <c r="AH43" s="50"/>
      <c r="AI43" s="50">
        <f>66062+1234</f>
        <v>67296</v>
      </c>
    </row>
    <row r="44" spans="1:35" ht="51" x14ac:dyDescent="0.2">
      <c r="A44" s="44">
        <v>18</v>
      </c>
      <c r="B44" s="45" t="s">
        <v>165</v>
      </c>
      <c r="C44" s="46" t="str">
        <f t="shared" ca="1" si="1"/>
        <v xml:space="preserve">Котлы битумные передвижные 400 л
маш.-ч
</v>
      </c>
      <c r="D44" s="44">
        <v>-18.05</v>
      </c>
      <c r="E44" s="47">
        <v>30</v>
      </c>
      <c r="F44" s="47">
        <v>30</v>
      </c>
      <c r="G44" s="47"/>
      <c r="H44" s="58" t="s">
        <v>166</v>
      </c>
      <c r="I44" s="48">
        <v>-3692</v>
      </c>
      <c r="J44" s="47"/>
      <c r="K44" s="47">
        <v>-3692</v>
      </c>
      <c r="L44" s="47" t="str">
        <f>IF(-18.05*0=0," ",TEXT(,ROUND((-18.05*0*1),2)))</f>
        <v xml:space="preserve"> </v>
      </c>
      <c r="M44" s="47"/>
      <c r="N44" s="47"/>
      <c r="O44" s="49"/>
      <c r="P44" s="49"/>
      <c r="Q44" s="49"/>
      <c r="R44" s="49"/>
      <c r="S44" s="49"/>
      <c r="T44" s="50"/>
      <c r="U44" s="50"/>
      <c r="V44" s="50"/>
      <c r="W44" s="50"/>
      <c r="X44" s="50"/>
      <c r="Y44" s="50"/>
      <c r="Z44" s="50"/>
      <c r="AA44" s="50" t="s">
        <v>167</v>
      </c>
      <c r="AB44" s="50" t="s">
        <v>168</v>
      </c>
      <c r="AC44" s="50"/>
      <c r="AD44" s="50"/>
      <c r="AE44" s="50"/>
      <c r="AF44" s="50" t="s">
        <v>169</v>
      </c>
      <c r="AG44" s="50" t="s">
        <v>170</v>
      </c>
      <c r="AH44" s="50"/>
      <c r="AI44" s="50">
        <f>0+0</f>
        <v>0</v>
      </c>
    </row>
    <row r="45" spans="1:35" ht="63.75" x14ac:dyDescent="0.2">
      <c r="A45" s="44">
        <v>19</v>
      </c>
      <c r="B45" s="45" t="s">
        <v>171</v>
      </c>
      <c r="C45" s="46" t="str">
        <f t="shared" ca="1" si="1"/>
        <v xml:space="preserve">Битумы нефтяные строительные кровельные марки БНК-45/190, БНК-45/180
т
</v>
      </c>
      <c r="D45" s="44">
        <v>-0.19620000000000001</v>
      </c>
      <c r="E45" s="47">
        <v>1530</v>
      </c>
      <c r="F45" s="47"/>
      <c r="G45" s="47">
        <v>1530</v>
      </c>
      <c r="H45" s="58" t="s">
        <v>172</v>
      </c>
      <c r="I45" s="48">
        <v>-3983</v>
      </c>
      <c r="J45" s="47"/>
      <c r="K45" s="47"/>
      <c r="L45" s="47" t="str">
        <f>IF(-0.1962*1530=0," ",TEXT(,ROUND((-0.1962*1530*13.277),2)))</f>
        <v>-3985.57</v>
      </c>
      <c r="M45" s="47"/>
      <c r="N45" s="47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 t="s">
        <v>173</v>
      </c>
      <c r="AG45" s="50" t="s">
        <v>174</v>
      </c>
      <c r="AH45" s="50"/>
      <c r="AI45" s="50">
        <f>0+0</f>
        <v>0</v>
      </c>
    </row>
    <row r="46" spans="1:35" ht="51" x14ac:dyDescent="0.2">
      <c r="A46" s="44">
        <v>20</v>
      </c>
      <c r="B46" s="45" t="s">
        <v>175</v>
      </c>
      <c r="C46" s="46" t="str">
        <f t="shared" ca="1" si="1"/>
        <v xml:space="preserve">Керосин для технических целей марок КТ-1, КТ-2
т
</v>
      </c>
      <c r="D46" s="44">
        <v>-0.45519999999999999</v>
      </c>
      <c r="E46" s="47">
        <v>2606.9</v>
      </c>
      <c r="F46" s="47"/>
      <c r="G46" s="47">
        <v>2606.9</v>
      </c>
      <c r="H46" s="58" t="s">
        <v>176</v>
      </c>
      <c r="I46" s="48">
        <v>-18921</v>
      </c>
      <c r="J46" s="47"/>
      <c r="K46" s="47"/>
      <c r="L46" s="47" t="str">
        <f>IF(-0.4552*2606.9=0," ",TEXT(,ROUND((-0.4552*2606.9*15.94),2)))</f>
        <v>-18915.37</v>
      </c>
      <c r="M46" s="47"/>
      <c r="N46" s="47"/>
      <c r="O46" s="49"/>
      <c r="P46" s="49"/>
      <c r="Q46" s="49"/>
      <c r="R46" s="49"/>
      <c r="S46" s="49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 t="s">
        <v>177</v>
      </c>
      <c r="AG46" s="50" t="s">
        <v>174</v>
      </c>
      <c r="AH46" s="50"/>
      <c r="AI46" s="50">
        <f>0+0</f>
        <v>0</v>
      </c>
    </row>
    <row r="47" spans="1:35" ht="51" x14ac:dyDescent="0.2">
      <c r="A47" s="44">
        <v>21</v>
      </c>
      <c r="B47" s="45" t="s">
        <v>178</v>
      </c>
      <c r="C47" s="46" t="str">
        <f t="shared" ca="1" si="1"/>
        <v xml:space="preserve">Мастика битумная кровельная горячая
т
</v>
      </c>
      <c r="D47" s="44">
        <v>-1.577</v>
      </c>
      <c r="E47" s="47">
        <v>3390</v>
      </c>
      <c r="F47" s="47"/>
      <c r="G47" s="47">
        <v>3390</v>
      </c>
      <c r="H47" s="58" t="s">
        <v>179</v>
      </c>
      <c r="I47" s="48">
        <v>-54353</v>
      </c>
      <c r="J47" s="47"/>
      <c r="K47" s="47"/>
      <c r="L47" s="47" t="str">
        <f>IF(-1.577*3390=0," ",TEXT(,ROUND((-1.577*3390*10.167),2)))</f>
        <v>-54353.09</v>
      </c>
      <c r="M47" s="47"/>
      <c r="N47" s="47"/>
      <c r="O47" s="49"/>
      <c r="P47" s="49"/>
      <c r="Q47" s="49"/>
      <c r="R47" s="49"/>
      <c r="S47" s="49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 t="s">
        <v>180</v>
      </c>
      <c r="AG47" s="50" t="s">
        <v>174</v>
      </c>
      <c r="AH47" s="50"/>
      <c r="AI47" s="50">
        <f>0+0</f>
        <v>0</v>
      </c>
    </row>
    <row r="48" spans="1:35" ht="63.75" x14ac:dyDescent="0.2">
      <c r="A48" s="44">
        <v>22</v>
      </c>
      <c r="B48" s="45" t="s">
        <v>181</v>
      </c>
      <c r="C48" s="46" t="str">
        <f t="shared" ca="1" si="1"/>
        <v xml:space="preserve">Плиты из минеральной ваты на синтетическом связующем М-125 (ГОСТ 9573-96)
м3
</v>
      </c>
      <c r="D48" s="44">
        <v>-48.5</v>
      </c>
      <c r="E48" s="47">
        <v>530</v>
      </c>
      <c r="F48" s="47"/>
      <c r="G48" s="47">
        <v>530</v>
      </c>
      <c r="H48" s="58" t="s">
        <v>182</v>
      </c>
      <c r="I48" s="48">
        <v>-148369</v>
      </c>
      <c r="J48" s="47"/>
      <c r="K48" s="47"/>
      <c r="L48" s="47" t="str">
        <f>IF(-48.5*530=0," ",TEXT(,ROUND((-48.5*530*5.772),2)))</f>
        <v>-148369.26</v>
      </c>
      <c r="M48" s="47"/>
      <c r="N48" s="47"/>
      <c r="O48" s="49"/>
      <c r="P48" s="49"/>
      <c r="Q48" s="49"/>
      <c r="R48" s="49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 t="s">
        <v>183</v>
      </c>
      <c r="AG48" s="50" t="s">
        <v>184</v>
      </c>
      <c r="AH48" s="50"/>
      <c r="AI48" s="50">
        <f>0+0</f>
        <v>0</v>
      </c>
    </row>
    <row r="49" spans="1:35" ht="153" x14ac:dyDescent="0.2">
      <c r="A49" s="44">
        <v>23</v>
      </c>
      <c r="B49" s="45" t="s">
        <v>185</v>
      </c>
      <c r="C49" s="46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(Всего толщ. 250 мм ПЗ=4 (ОЗП=4; ЭМ=4 к расх.; ЗПМ=4; МАТ=4 к расх.; ТЗ=4; ТЗМ=4))
192734 руб. НР 92%=120%*(0,85*0,9) от ФОТ (209493 руб.)
92177 руб.СП 44%=65%*(0,8*0,85) от ФОТ (209493 руб.)
</v>
      </c>
      <c r="D49" s="44">
        <v>7.8479999999999999</v>
      </c>
      <c r="E49" s="47" t="s">
        <v>186</v>
      </c>
      <c r="F49" s="47" t="s">
        <v>187</v>
      </c>
      <c r="G49" s="47">
        <v>15827.16</v>
      </c>
      <c r="H49" s="58" t="s">
        <v>159</v>
      </c>
      <c r="I49" s="48">
        <v>1087203</v>
      </c>
      <c r="J49" s="47">
        <v>204575</v>
      </c>
      <c r="K49" s="47" t="s">
        <v>188</v>
      </c>
      <c r="L49" s="47" t="str">
        <f>IF(7.848*15827.16=0," ",TEXT(,ROUND((7.848*15827.16*6.74),2)))</f>
        <v>837185.86</v>
      </c>
      <c r="M49" s="47" t="s">
        <v>189</v>
      </c>
      <c r="N49" s="47" t="s">
        <v>190</v>
      </c>
      <c r="O49" s="49"/>
      <c r="P49" s="49"/>
      <c r="Q49" s="49"/>
      <c r="R49" s="49"/>
      <c r="S49" s="49"/>
      <c r="T49" s="50"/>
      <c r="U49" s="50"/>
      <c r="V49" s="50"/>
      <c r="W49" s="50"/>
      <c r="X49" s="50"/>
      <c r="Y49" s="50"/>
      <c r="Z49" s="50"/>
      <c r="AA49" s="50" t="s">
        <v>77</v>
      </c>
      <c r="AB49" s="50" t="s">
        <v>78</v>
      </c>
      <c r="AC49" s="50">
        <v>192734</v>
      </c>
      <c r="AD49" s="50">
        <v>92177</v>
      </c>
      <c r="AE49" s="50" t="s">
        <v>191</v>
      </c>
      <c r="AF49" s="50" t="s">
        <v>192</v>
      </c>
      <c r="AG49" s="50" t="s">
        <v>164</v>
      </c>
      <c r="AH49" s="50"/>
      <c r="AI49" s="50">
        <f>204575+4918</f>
        <v>209493</v>
      </c>
    </row>
    <row r="50" spans="1:35" ht="51" x14ac:dyDescent="0.2">
      <c r="A50" s="44">
        <v>24</v>
      </c>
      <c r="B50" s="45" t="s">
        <v>165</v>
      </c>
      <c r="C50" s="46" t="str">
        <f t="shared" ca="1" si="1"/>
        <v xml:space="preserve">Котлы битумные передвижные 400 л
маш.-ч
</v>
      </c>
      <c r="D50" s="44">
        <v>-64.75</v>
      </c>
      <c r="E50" s="47">
        <v>30</v>
      </c>
      <c r="F50" s="47">
        <v>30</v>
      </c>
      <c r="G50" s="47"/>
      <c r="H50" s="58" t="s">
        <v>166</v>
      </c>
      <c r="I50" s="48">
        <v>-13228</v>
      </c>
      <c r="J50" s="47"/>
      <c r="K50" s="47">
        <v>-13228</v>
      </c>
      <c r="L50" s="47" t="str">
        <f>IF(-64.75*0=0," ",TEXT(,ROUND((-64.75*0*1),2)))</f>
        <v xml:space="preserve"> </v>
      </c>
      <c r="M50" s="47"/>
      <c r="N50" s="47"/>
      <c r="O50" s="49"/>
      <c r="P50" s="49"/>
      <c r="Q50" s="49"/>
      <c r="R50" s="49"/>
      <c r="S50" s="49"/>
      <c r="T50" s="50"/>
      <c r="U50" s="50"/>
      <c r="V50" s="50"/>
      <c r="W50" s="50"/>
      <c r="X50" s="50"/>
      <c r="Y50" s="50"/>
      <c r="Z50" s="50"/>
      <c r="AA50" s="50" t="s">
        <v>167</v>
      </c>
      <c r="AB50" s="50" t="s">
        <v>168</v>
      </c>
      <c r="AC50" s="50"/>
      <c r="AD50" s="50"/>
      <c r="AE50" s="50"/>
      <c r="AF50" s="50" t="s">
        <v>169</v>
      </c>
      <c r="AG50" s="50" t="s">
        <v>170</v>
      </c>
      <c r="AH50" s="50"/>
      <c r="AI50" s="50">
        <f>0+0</f>
        <v>0</v>
      </c>
    </row>
    <row r="51" spans="1:35" ht="51" x14ac:dyDescent="0.2">
      <c r="A51" s="44">
        <v>25</v>
      </c>
      <c r="B51" s="45" t="s">
        <v>178</v>
      </c>
      <c r="C51" s="46" t="str">
        <f t="shared" ca="1" si="1"/>
        <v xml:space="preserve">Мастика битумная кровельная горячая
т
</v>
      </c>
      <c r="D51" s="44">
        <v>-6.31</v>
      </c>
      <c r="E51" s="47">
        <v>3390</v>
      </c>
      <c r="F51" s="47"/>
      <c r="G51" s="47">
        <v>3390</v>
      </c>
      <c r="H51" s="58" t="s">
        <v>179</v>
      </c>
      <c r="I51" s="48">
        <v>-217482</v>
      </c>
      <c r="J51" s="47"/>
      <c r="K51" s="47"/>
      <c r="L51" s="47" t="str">
        <f>IF(-6.31*3390=0," ",TEXT(,ROUND((-6.31*3390*10.167),2)))</f>
        <v>-217481.28</v>
      </c>
      <c r="M51" s="47"/>
      <c r="N51" s="47"/>
      <c r="O51" s="49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 t="s">
        <v>180</v>
      </c>
      <c r="AG51" s="50" t="s">
        <v>174</v>
      </c>
      <c r="AH51" s="50"/>
      <c r="AI51" s="50">
        <f>0+0</f>
        <v>0</v>
      </c>
    </row>
    <row r="52" spans="1:35" ht="63.75" x14ac:dyDescent="0.2">
      <c r="A52" s="44">
        <v>26</v>
      </c>
      <c r="B52" s="45" t="s">
        <v>181</v>
      </c>
      <c r="C52" s="46" t="str">
        <f t="shared" ca="1" si="1"/>
        <v xml:space="preserve">Плиты из минеральной ваты на синтетическом связующем М-125 (ГОСТ 9573-96)
м3
</v>
      </c>
      <c r="D52" s="44">
        <v>-194</v>
      </c>
      <c r="E52" s="47">
        <v>530</v>
      </c>
      <c r="F52" s="47"/>
      <c r="G52" s="47">
        <v>530</v>
      </c>
      <c r="H52" s="58" t="s">
        <v>182</v>
      </c>
      <c r="I52" s="48">
        <v>-593477</v>
      </c>
      <c r="J52" s="47"/>
      <c r="K52" s="47"/>
      <c r="L52" s="47" t="str">
        <f>IF(-194*530=0," ",TEXT(,ROUND((-194*530*5.772),2)))</f>
        <v>-593477.04</v>
      </c>
      <c r="M52" s="47"/>
      <c r="N52" s="47"/>
      <c r="O52" s="49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 t="s">
        <v>183</v>
      </c>
      <c r="AG52" s="50" t="s">
        <v>184</v>
      </c>
      <c r="AH52" s="50"/>
      <c r="AI52" s="50">
        <f>0+0</f>
        <v>0</v>
      </c>
    </row>
    <row r="53" spans="1:35" ht="153" x14ac:dyDescent="0.2">
      <c r="A53" s="44">
        <v>27</v>
      </c>
      <c r="B53" s="45" t="s">
        <v>193</v>
      </c>
      <c r="C53" s="46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 2 слоя ПЗ=2 (ОЗП=2; ЭМ=2 к расх.; ЗПМ=2; МАТ=2 к расх.; ТЗ=2; ТЗМ=2))
19404 руб. НР 92%=120%*(0,85*0,9) от ФОТ (21091 руб.)
9280 руб.СП 44%=65%*(0,8*0,85) от ФОТ (21091 руб.)
</v>
      </c>
      <c r="D53" s="44">
        <v>1.58</v>
      </c>
      <c r="E53" s="47" t="s">
        <v>194</v>
      </c>
      <c r="F53" s="47" t="s">
        <v>195</v>
      </c>
      <c r="G53" s="47">
        <v>7913.58</v>
      </c>
      <c r="H53" s="58" t="s">
        <v>159</v>
      </c>
      <c r="I53" s="48">
        <v>109446</v>
      </c>
      <c r="J53" s="47">
        <v>20601</v>
      </c>
      <c r="K53" s="47" t="s">
        <v>196</v>
      </c>
      <c r="L53" s="47" t="str">
        <f>IF(1.58*7913.58=0," ",TEXT(,ROUND((1.58*7913.58*6.74),2)))</f>
        <v>84273.3</v>
      </c>
      <c r="M53" s="47" t="s">
        <v>197</v>
      </c>
      <c r="N53" s="47" t="s">
        <v>198</v>
      </c>
      <c r="O53" s="49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 t="s">
        <v>77</v>
      </c>
      <c r="AB53" s="50" t="s">
        <v>78</v>
      </c>
      <c r="AC53" s="50">
        <v>19404</v>
      </c>
      <c r="AD53" s="50">
        <v>9280</v>
      </c>
      <c r="AE53" s="50" t="s">
        <v>199</v>
      </c>
      <c r="AF53" s="50" t="s">
        <v>192</v>
      </c>
      <c r="AG53" s="50" t="s">
        <v>164</v>
      </c>
      <c r="AH53" s="50"/>
      <c r="AI53" s="50">
        <f>20601+490</f>
        <v>21091</v>
      </c>
    </row>
    <row r="54" spans="1:35" ht="51" x14ac:dyDescent="0.2">
      <c r="A54" s="44">
        <v>28</v>
      </c>
      <c r="B54" s="45" t="s">
        <v>165</v>
      </c>
      <c r="C54" s="46" t="str">
        <f t="shared" ca="1" si="1"/>
        <v xml:space="preserve">Котлы битумные передвижные 400 л
маш.-ч
</v>
      </c>
      <c r="D54" s="44">
        <v>-6.51</v>
      </c>
      <c r="E54" s="47">
        <v>30</v>
      </c>
      <c r="F54" s="47">
        <v>30</v>
      </c>
      <c r="G54" s="47"/>
      <c r="H54" s="58" t="s">
        <v>166</v>
      </c>
      <c r="I54" s="48">
        <v>-1329</v>
      </c>
      <c r="J54" s="47"/>
      <c r="K54" s="47">
        <v>-1329</v>
      </c>
      <c r="L54" s="47" t="str">
        <f>IF(-6.51*0=0," ",TEXT(,ROUND((-6.51*0*1),2)))</f>
        <v xml:space="preserve"> </v>
      </c>
      <c r="M54" s="47"/>
      <c r="N54" s="47"/>
      <c r="O54" s="49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 t="s">
        <v>167</v>
      </c>
      <c r="AB54" s="50" t="s">
        <v>168</v>
      </c>
      <c r="AC54" s="50"/>
      <c r="AD54" s="50"/>
      <c r="AE54" s="50"/>
      <c r="AF54" s="50" t="s">
        <v>169</v>
      </c>
      <c r="AG54" s="50" t="s">
        <v>170</v>
      </c>
      <c r="AH54" s="50"/>
      <c r="AI54" s="50">
        <f>0+0</f>
        <v>0</v>
      </c>
    </row>
    <row r="55" spans="1:35" ht="51" x14ac:dyDescent="0.2">
      <c r="A55" s="44">
        <v>29</v>
      </c>
      <c r="B55" s="45" t="s">
        <v>178</v>
      </c>
      <c r="C55" s="46" t="str">
        <f t="shared" ca="1" si="1"/>
        <v xml:space="preserve">Мастика битумная кровельная горячая
т
</v>
      </c>
      <c r="D55" s="44">
        <v>-0.63519999999999999</v>
      </c>
      <c r="E55" s="47">
        <v>3390</v>
      </c>
      <c r="F55" s="47"/>
      <c r="G55" s="47">
        <v>3390</v>
      </c>
      <c r="H55" s="58" t="s">
        <v>179</v>
      </c>
      <c r="I55" s="48">
        <v>-21890</v>
      </c>
      <c r="J55" s="47"/>
      <c r="K55" s="47"/>
      <c r="L55" s="47" t="str">
        <f>IF(-0.6352*3390=0," ",TEXT(,ROUND((-0.6352*3390*10.167),2)))</f>
        <v>-21892.89</v>
      </c>
      <c r="M55" s="47"/>
      <c r="N55" s="47"/>
      <c r="O55" s="49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 t="s">
        <v>180</v>
      </c>
      <c r="AG55" s="50" t="s">
        <v>174</v>
      </c>
      <c r="AH55" s="50"/>
      <c r="AI55" s="50">
        <f>0+0</f>
        <v>0</v>
      </c>
    </row>
    <row r="56" spans="1:35" ht="63.75" x14ac:dyDescent="0.2">
      <c r="A56" s="44">
        <v>30</v>
      </c>
      <c r="B56" s="45" t="s">
        <v>181</v>
      </c>
      <c r="C56" s="46" t="str">
        <f t="shared" ca="1" si="1"/>
        <v xml:space="preserve">Плиты из минеральной ваты на синтетическом связующем М-125 (ГОСТ 9573-96)
м3
</v>
      </c>
      <c r="D56" s="44">
        <v>-19.53</v>
      </c>
      <c r="E56" s="47">
        <v>530</v>
      </c>
      <c r="F56" s="47"/>
      <c r="G56" s="47">
        <v>530</v>
      </c>
      <c r="H56" s="58" t="s">
        <v>182</v>
      </c>
      <c r="I56" s="48">
        <v>-59746</v>
      </c>
      <c r="J56" s="47"/>
      <c r="K56" s="47"/>
      <c r="L56" s="47" t="str">
        <f>IF(-19.53*530=0," ",TEXT(,ROUND((-19.53*530*5.772),2)))</f>
        <v>-59745.39</v>
      </c>
      <c r="M56" s="47"/>
      <c r="N56" s="47"/>
      <c r="O56" s="49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 t="s">
        <v>183</v>
      </c>
      <c r="AG56" s="50" t="s">
        <v>184</v>
      </c>
      <c r="AH56" s="50"/>
      <c r="AI56" s="50">
        <f>0+0</f>
        <v>0</v>
      </c>
    </row>
    <row r="57" spans="1:35" ht="76.5" x14ac:dyDescent="0.2">
      <c r="A57" s="44">
        <v>31</v>
      </c>
      <c r="B57" s="45" t="s">
        <v>200</v>
      </c>
      <c r="C57" s="46" t="str">
        <f t="shared" ca="1" si="1"/>
        <v xml:space="preserve">Плиты теплоизоляционные энергетические гидрофобизированные базальтовые: ПТЭ-125 , размером 2000х1000х50 мм 4146,89/5,56=745,84
м3
</v>
      </c>
      <c r="D57" s="44" t="s">
        <v>201</v>
      </c>
      <c r="E57" s="47">
        <v>745.84</v>
      </c>
      <c r="F57" s="47"/>
      <c r="G57" s="47">
        <v>745.84</v>
      </c>
      <c r="H57" s="58" t="s">
        <v>154</v>
      </c>
      <c r="I57" s="48">
        <v>905513</v>
      </c>
      <c r="J57" s="47"/>
      <c r="K57" s="47"/>
      <c r="L57" s="47" t="str">
        <f>IF(218.36*745.84=0," ",TEXT(,ROUND((218.36*745.84*5.56),2)))</f>
        <v>905510.62</v>
      </c>
      <c r="M57" s="47"/>
      <c r="N57" s="47"/>
      <c r="O57" s="49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 t="s">
        <v>202</v>
      </c>
      <c r="AG57" s="50" t="s">
        <v>184</v>
      </c>
      <c r="AH57" s="50"/>
      <c r="AI57" s="50">
        <f>0+0</f>
        <v>0</v>
      </c>
    </row>
    <row r="58" spans="1:35" ht="89.25" x14ac:dyDescent="0.2">
      <c r="A58" s="44">
        <v>32</v>
      </c>
      <c r="B58" s="45" t="s">
        <v>145</v>
      </c>
      <c r="C58" s="46" t="str">
        <f t="shared" ca="1" si="1"/>
        <v xml:space="preserve">Устройство покрытия из рулонных материалов: насухо без промазки кромок
100 м2 кровли
3360 руб. НР 71%=83%*0,85 от ФОТ (4732 руб.)
2461 руб.СП 52%=65%*0,8 от ФОТ (4732 руб.)
</v>
      </c>
      <c r="D58" s="44">
        <v>7.7302999999999997</v>
      </c>
      <c r="E58" s="47" t="s">
        <v>146</v>
      </c>
      <c r="F58" s="47">
        <v>5.23</v>
      </c>
      <c r="G58" s="47">
        <v>883.33</v>
      </c>
      <c r="H58" s="58" t="s">
        <v>147</v>
      </c>
      <c r="I58" s="48">
        <v>39414</v>
      </c>
      <c r="J58" s="47">
        <v>4732</v>
      </c>
      <c r="K58" s="47">
        <v>473</v>
      </c>
      <c r="L58" s="47" t="str">
        <f>IF(7.7303*883.33=0," ",TEXT(,ROUND((7.7303*883.33*5.01),2)))</f>
        <v>34210.31</v>
      </c>
      <c r="M58" s="47">
        <v>4.5199999999999996</v>
      </c>
      <c r="N58" s="47">
        <v>34.94</v>
      </c>
      <c r="O58" s="49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 t="s">
        <v>38</v>
      </c>
      <c r="AB58" s="50" t="s">
        <v>39</v>
      </c>
      <c r="AC58" s="50">
        <v>3360</v>
      </c>
      <c r="AD58" s="50">
        <v>2461</v>
      </c>
      <c r="AE58" s="50"/>
      <c r="AF58" s="50" t="s">
        <v>148</v>
      </c>
      <c r="AG58" s="50" t="s">
        <v>55</v>
      </c>
      <c r="AH58" s="50"/>
      <c r="AI58" s="50">
        <f>4732+0</f>
        <v>4732</v>
      </c>
    </row>
    <row r="59" spans="1:35" ht="63.75" x14ac:dyDescent="0.2">
      <c r="A59" s="44">
        <v>33</v>
      </c>
      <c r="B59" s="45" t="s">
        <v>149</v>
      </c>
      <c r="C59" s="46" t="str">
        <f t="shared" ca="1" si="1"/>
        <v xml:space="preserve">Рубероид кровельный с крупнозернистой посыпкой марки: РКК-350б
м2
</v>
      </c>
      <c r="D59" s="44">
        <v>-889</v>
      </c>
      <c r="E59" s="47">
        <v>7.46</v>
      </c>
      <c r="F59" s="47"/>
      <c r="G59" s="47">
        <v>7.46</v>
      </c>
      <c r="H59" s="58" t="s">
        <v>150</v>
      </c>
      <c r="I59" s="48">
        <v>-33187</v>
      </c>
      <c r="J59" s="47"/>
      <c r="K59" s="47"/>
      <c r="L59" s="47" t="str">
        <f>IF(-889*7.46=0," ",TEXT(,ROUND((-889*7.46*5.004),2)))</f>
        <v>-33186.23</v>
      </c>
      <c r="M59" s="47"/>
      <c r="N59" s="47"/>
      <c r="O59" s="49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 t="s">
        <v>151</v>
      </c>
      <c r="AG59" s="50" t="s">
        <v>152</v>
      </c>
      <c r="AH59" s="50"/>
      <c r="AI59" s="50">
        <f>0+0</f>
        <v>0</v>
      </c>
    </row>
    <row r="60" spans="1:35" ht="63.75" x14ac:dyDescent="0.2">
      <c r="A60" s="44">
        <v>34</v>
      </c>
      <c r="B60" s="45" t="s">
        <v>203</v>
      </c>
      <c r="C60" s="46" t="str">
        <f t="shared" ca="1" si="1"/>
        <v xml:space="preserve">Изоспан: Защитный материал марки А 20,40/5,56=3,67
м2
</v>
      </c>
      <c r="D60" s="44">
        <v>889</v>
      </c>
      <c r="E60" s="47">
        <v>3.67</v>
      </c>
      <c r="F60" s="47"/>
      <c r="G60" s="47">
        <v>3.67</v>
      </c>
      <c r="H60" s="58" t="s">
        <v>154</v>
      </c>
      <c r="I60" s="48">
        <v>18142</v>
      </c>
      <c r="J60" s="47"/>
      <c r="K60" s="47"/>
      <c r="L60" s="47" t="str">
        <f>IF(889*3.67=0," ",TEXT(,ROUND((889*3.67*5.56),2)))</f>
        <v>18140.22</v>
      </c>
      <c r="M60" s="47"/>
      <c r="N60" s="47"/>
      <c r="O60" s="49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 t="s">
        <v>204</v>
      </c>
      <c r="AG60" s="50" t="s">
        <v>152</v>
      </c>
      <c r="AH60" s="50"/>
      <c r="AI60" s="50">
        <f>0+0</f>
        <v>0</v>
      </c>
    </row>
    <row r="61" spans="1:35" ht="89.25" x14ac:dyDescent="0.2">
      <c r="A61" s="44">
        <v>35</v>
      </c>
      <c r="B61" s="45" t="s">
        <v>205</v>
      </c>
      <c r="C61" s="46" t="str">
        <f t="shared" ca="1" si="1"/>
        <v xml:space="preserve">Укладка ходовых досок
100 м ходов
639 руб. НР 90%=118%*(0,85*0,9) от ФОТ (710 руб.)
305 руб.СП 43%=63%*(0,8*0,85) от ФОТ (710 руб.)
</v>
      </c>
      <c r="D61" s="44">
        <v>1.1299999999999999</v>
      </c>
      <c r="E61" s="47" t="s">
        <v>206</v>
      </c>
      <c r="F61" s="47" t="s">
        <v>207</v>
      </c>
      <c r="G61" s="47">
        <v>1007.15</v>
      </c>
      <c r="H61" s="58" t="s">
        <v>208</v>
      </c>
      <c r="I61" s="48">
        <v>6982</v>
      </c>
      <c r="J61" s="47">
        <v>693</v>
      </c>
      <c r="K61" s="47" t="s">
        <v>209</v>
      </c>
      <c r="L61" s="47" t="str">
        <f>IF(1.13*1007.15=0," ",TEXT(,ROUND((1.13*1007.15*5.35),2)))</f>
        <v>6088.73</v>
      </c>
      <c r="M61" s="47" t="s">
        <v>210</v>
      </c>
      <c r="N61" s="47" t="s">
        <v>211</v>
      </c>
      <c r="O61" s="49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 t="s">
        <v>89</v>
      </c>
      <c r="AB61" s="50" t="s">
        <v>90</v>
      </c>
      <c r="AC61" s="50">
        <v>639</v>
      </c>
      <c r="AD61" s="50">
        <v>305</v>
      </c>
      <c r="AE61" s="50"/>
      <c r="AF61" s="50" t="s">
        <v>212</v>
      </c>
      <c r="AG61" s="50" t="s">
        <v>213</v>
      </c>
      <c r="AH61" s="50"/>
      <c r="AI61" s="50">
        <f>693+17</f>
        <v>710</v>
      </c>
    </row>
    <row r="62" spans="1:35" ht="63.75" x14ac:dyDescent="0.2">
      <c r="A62" s="44">
        <v>36</v>
      </c>
      <c r="B62" s="45" t="s">
        <v>214</v>
      </c>
      <c r="C62" s="46" t="str">
        <f t="shared" ca="1" si="1"/>
        <v xml:space="preserve">Доски необрезные хвойных пород длиной: 4-6,5 м, все ширины, толщиной 32-40 мм, III сорта
м3
</v>
      </c>
      <c r="D62" s="44">
        <v>-1.3560000000000001</v>
      </c>
      <c r="E62" s="47">
        <v>832.7</v>
      </c>
      <c r="F62" s="47"/>
      <c r="G62" s="47">
        <v>832.7</v>
      </c>
      <c r="H62" s="58" t="s">
        <v>215</v>
      </c>
      <c r="I62" s="48">
        <v>-6056</v>
      </c>
      <c r="J62" s="47"/>
      <c r="K62" s="47"/>
      <c r="L62" s="47" t="str">
        <f>IF(-1.356*832.7=0," ",TEXT(,ROUND((-1.356*832.7*5.364),2)))</f>
        <v>-6056.71</v>
      </c>
      <c r="M62" s="47"/>
      <c r="N62" s="47"/>
      <c r="O62" s="49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 t="s">
        <v>216</v>
      </c>
      <c r="AG62" s="50" t="s">
        <v>184</v>
      </c>
      <c r="AH62" s="50"/>
      <c r="AI62" s="50">
        <f>0+0</f>
        <v>0</v>
      </c>
    </row>
    <row r="63" spans="1:35" ht="76.5" x14ac:dyDescent="0.2">
      <c r="A63" s="44">
        <v>37</v>
      </c>
      <c r="B63" s="45" t="s">
        <v>217</v>
      </c>
      <c r="C63" s="46" t="str">
        <f t="shared" ca="1" si="1"/>
        <v xml:space="preserve">Доски обрезные хвойных пород длиной: 4-6,5 м, шириной 75-150 мм, толщиной 44 мм и более, II сорта
м3
</v>
      </c>
      <c r="D63" s="44">
        <v>2.2599999999999998</v>
      </c>
      <c r="E63" s="47">
        <v>1320</v>
      </c>
      <c r="F63" s="47"/>
      <c r="G63" s="47">
        <v>1320</v>
      </c>
      <c r="H63" s="58" t="s">
        <v>218</v>
      </c>
      <c r="I63" s="48">
        <v>12406</v>
      </c>
      <c r="J63" s="47"/>
      <c r="K63" s="47"/>
      <c r="L63" s="47" t="str">
        <f>IF(2.26*1320=0," ",TEXT(,ROUND((2.26*1320*4.159),2)))</f>
        <v>12407.13</v>
      </c>
      <c r="M63" s="47"/>
      <c r="N63" s="47"/>
      <c r="O63" s="49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 t="s">
        <v>219</v>
      </c>
      <c r="AG63" s="50" t="s">
        <v>184</v>
      </c>
      <c r="AH63" s="50"/>
      <c r="AI63" s="50">
        <f>0+0</f>
        <v>0</v>
      </c>
    </row>
    <row r="64" spans="1:35" ht="89.25" x14ac:dyDescent="0.2">
      <c r="A64" s="44">
        <v>38</v>
      </c>
      <c r="B64" s="45" t="s">
        <v>220</v>
      </c>
      <c r="C64" s="46" t="str">
        <f t="shared" ca="1" si="1"/>
        <v xml:space="preserve">Установка элементов каркаса: из брусьев
1 м3 древесины в конструкции
335 руб. НР 90%=118%*(0,85*0,9) от ФОТ (372 руб.)
160 руб.СП 43%=63%*(0,8*0,85) от ФОТ (372 руб.)
</v>
      </c>
      <c r="D64" s="44">
        <v>0.1</v>
      </c>
      <c r="E64" s="47" t="s">
        <v>221</v>
      </c>
      <c r="F64" s="47">
        <v>33.51</v>
      </c>
      <c r="G64" s="47">
        <v>2189</v>
      </c>
      <c r="H64" s="58" t="s">
        <v>222</v>
      </c>
      <c r="I64" s="48">
        <v>1156</v>
      </c>
      <c r="J64" s="47">
        <v>372</v>
      </c>
      <c r="K64" s="47">
        <v>46</v>
      </c>
      <c r="L64" s="47" t="str">
        <f>IF(0.1*2189=0," ",TEXT(,ROUND((0.1*2189*3.37),2)))</f>
        <v>737.69</v>
      </c>
      <c r="M64" s="47">
        <v>22.5</v>
      </c>
      <c r="N64" s="47">
        <v>2.25</v>
      </c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 t="s">
        <v>89</v>
      </c>
      <c r="AB64" s="50" t="s">
        <v>90</v>
      </c>
      <c r="AC64" s="50">
        <v>335</v>
      </c>
      <c r="AD64" s="50">
        <v>160</v>
      </c>
      <c r="AE64" s="50"/>
      <c r="AF64" s="50" t="s">
        <v>223</v>
      </c>
      <c r="AG64" s="50" t="s">
        <v>224</v>
      </c>
      <c r="AH64" s="50"/>
      <c r="AI64" s="50">
        <f>372+0</f>
        <v>372</v>
      </c>
    </row>
    <row r="65" spans="1:35" ht="114.75" x14ac:dyDescent="0.2">
      <c r="A65" s="44">
        <v>39</v>
      </c>
      <c r="B65" s="45" t="s">
        <v>225</v>
      </c>
      <c r="C65" s="46" t="str">
        <f t="shared" ca="1" si="1"/>
        <v xml:space="preserve">Установка противопожарных дверей: однопольных глухих
1 м2 проема
816 руб. НР 69%=90%*(0,85*0,9) от ФОТ (1183 руб.)
686 руб.СП 58%=85%*(0,8*0,85) от ФОТ (1183 руб.)
</v>
      </c>
      <c r="D65" s="44">
        <v>2.88</v>
      </c>
      <c r="E65" s="47" t="s">
        <v>226</v>
      </c>
      <c r="F65" s="47">
        <v>10.199999999999999</v>
      </c>
      <c r="G65" s="47">
        <v>60.66</v>
      </c>
      <c r="H65" s="58" t="s">
        <v>227</v>
      </c>
      <c r="I65" s="48">
        <v>2270</v>
      </c>
      <c r="J65" s="47">
        <v>1183</v>
      </c>
      <c r="K65" s="47">
        <v>235</v>
      </c>
      <c r="L65" s="47" t="str">
        <f>IF(2.88*60.66=0," ",TEXT(,ROUND((2.88*60.66*4.87),2)))</f>
        <v>850.79</v>
      </c>
      <c r="M65" s="47">
        <v>2.0699999999999998</v>
      </c>
      <c r="N65" s="47">
        <v>5.96</v>
      </c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 t="s">
        <v>228</v>
      </c>
      <c r="AB65" s="50" t="s">
        <v>229</v>
      </c>
      <c r="AC65" s="50">
        <v>816</v>
      </c>
      <c r="AD65" s="50">
        <v>686</v>
      </c>
      <c r="AE65" s="50"/>
      <c r="AF65" s="50" t="s">
        <v>230</v>
      </c>
      <c r="AG65" s="50" t="s">
        <v>231</v>
      </c>
      <c r="AH65" s="50"/>
      <c r="AI65" s="50">
        <f>1183+0</f>
        <v>1183</v>
      </c>
    </row>
    <row r="66" spans="1:35" ht="63.75" x14ac:dyDescent="0.2">
      <c r="A66" s="52">
        <v>40</v>
      </c>
      <c r="B66" s="53" t="s">
        <v>232</v>
      </c>
      <c r="C66" s="54" t="str">
        <f t="shared" ca="1" si="1"/>
        <v xml:space="preserve">Люки противопожарные: ЛПМ 01/60, 800х900 мм 8654,13/5,56=1556,50
шт.
</v>
      </c>
      <c r="D66" s="52">
        <v>4</v>
      </c>
      <c r="E66" s="55">
        <v>1556.5</v>
      </c>
      <c r="F66" s="55"/>
      <c r="G66" s="55">
        <v>1556.5</v>
      </c>
      <c r="H66" s="56" t="s">
        <v>154</v>
      </c>
      <c r="I66" s="57">
        <v>34617</v>
      </c>
      <c r="J66" s="55"/>
      <c r="K66" s="55"/>
      <c r="L66" s="55" t="str">
        <f>IF(4*1556.5=0," ",TEXT(,ROUND((4*1556.5*5.56),2)))</f>
        <v>34616.56</v>
      </c>
      <c r="M66" s="55"/>
      <c r="N66" s="55"/>
      <c r="O66" s="49"/>
      <c r="P66" s="49"/>
      <c r="Q66" s="49"/>
      <c r="R66" s="49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 t="s">
        <v>233</v>
      </c>
      <c r="AG66" s="50" t="s">
        <v>234</v>
      </c>
      <c r="AH66" s="50"/>
      <c r="AI66" s="50">
        <f>0+0</f>
        <v>0</v>
      </c>
    </row>
    <row r="67" spans="1:35" ht="25.5" x14ac:dyDescent="0.2">
      <c r="A67" s="72" t="s">
        <v>125</v>
      </c>
      <c r="B67" s="65"/>
      <c r="C67" s="65"/>
      <c r="D67" s="65"/>
      <c r="E67" s="65"/>
      <c r="F67" s="65"/>
      <c r="G67" s="65"/>
      <c r="H67" s="65"/>
      <c r="I67" s="48">
        <v>198682</v>
      </c>
      <c r="J67" s="47">
        <v>15802</v>
      </c>
      <c r="K67" s="47" t="s">
        <v>235</v>
      </c>
      <c r="L67" s="47">
        <v>179965</v>
      </c>
      <c r="M67" s="47"/>
      <c r="N67" s="47" t="s">
        <v>236</v>
      </c>
      <c r="O67" s="17"/>
      <c r="P67" s="18"/>
      <c r="Q67" s="17"/>
      <c r="R67" s="17"/>
      <c r="S67" s="17"/>
    </row>
    <row r="68" spans="1:35" ht="25.5" x14ac:dyDescent="0.2">
      <c r="A68" s="72" t="s">
        <v>237</v>
      </c>
      <c r="B68" s="65"/>
      <c r="C68" s="65"/>
      <c r="D68" s="65"/>
      <c r="E68" s="65"/>
      <c r="F68" s="65"/>
      <c r="G68" s="65"/>
      <c r="H68" s="65"/>
      <c r="I68" s="48">
        <v>201672</v>
      </c>
      <c r="J68" s="47">
        <v>18084</v>
      </c>
      <c r="K68" s="47" t="s">
        <v>238</v>
      </c>
      <c r="L68" s="47">
        <v>179965</v>
      </c>
      <c r="M68" s="47"/>
      <c r="N68" s="47" t="s">
        <v>239</v>
      </c>
      <c r="O68" s="17"/>
      <c r="P68" s="18"/>
      <c r="Q68" s="17"/>
      <c r="R68" s="17"/>
      <c r="S68" s="17"/>
    </row>
    <row r="69" spans="1:35" x14ac:dyDescent="0.2">
      <c r="A69" s="72" t="s">
        <v>240</v>
      </c>
      <c r="B69" s="65"/>
      <c r="C69" s="65"/>
      <c r="D69" s="65"/>
      <c r="E69" s="65"/>
      <c r="F69" s="65"/>
      <c r="G69" s="65"/>
      <c r="H69" s="65"/>
      <c r="I69" s="48"/>
      <c r="J69" s="47"/>
      <c r="K69" s="47"/>
      <c r="L69" s="47"/>
      <c r="M69" s="47"/>
      <c r="N69" s="47"/>
      <c r="O69" s="17"/>
      <c r="P69" s="18"/>
      <c r="Q69" s="17"/>
      <c r="R69" s="17"/>
      <c r="S69" s="17"/>
    </row>
    <row r="70" spans="1:35" ht="27.95" customHeight="1" x14ac:dyDescent="0.2">
      <c r="A70" s="72" t="s">
        <v>241</v>
      </c>
      <c r="B70" s="65"/>
      <c r="C70" s="65"/>
      <c r="D70" s="65"/>
      <c r="E70" s="65"/>
      <c r="F70" s="65"/>
      <c r="G70" s="65"/>
      <c r="H70" s="65"/>
      <c r="I70" s="48">
        <v>2990</v>
      </c>
      <c r="J70" s="47">
        <v>2282</v>
      </c>
      <c r="K70" s="47" t="s">
        <v>242</v>
      </c>
      <c r="L70" s="47"/>
      <c r="M70" s="47"/>
      <c r="N70" s="47" t="s">
        <v>243</v>
      </c>
      <c r="O70" s="17"/>
      <c r="P70" s="18"/>
      <c r="Q70" s="17"/>
      <c r="R70" s="17"/>
      <c r="S70" s="17"/>
    </row>
    <row r="71" spans="1:35" ht="25.5" x14ac:dyDescent="0.2">
      <c r="A71" s="72" t="s">
        <v>128</v>
      </c>
      <c r="B71" s="65"/>
      <c r="C71" s="65"/>
      <c r="D71" s="65"/>
      <c r="E71" s="65"/>
      <c r="F71" s="65"/>
      <c r="G71" s="65"/>
      <c r="H71" s="65"/>
      <c r="I71" s="48">
        <v>1368698</v>
      </c>
      <c r="J71" s="47">
        <v>305620</v>
      </c>
      <c r="K71" s="47" t="s">
        <v>244</v>
      </c>
      <c r="L71" s="47">
        <v>1017125</v>
      </c>
      <c r="M71" s="47"/>
      <c r="N71" s="47" t="s">
        <v>239</v>
      </c>
      <c r="O71" s="17"/>
      <c r="P71" s="18"/>
      <c r="Q71" s="17"/>
      <c r="R71" s="17"/>
      <c r="S71" s="17"/>
    </row>
    <row r="72" spans="1:35" x14ac:dyDescent="0.2">
      <c r="A72" s="72" t="s">
        <v>130</v>
      </c>
      <c r="B72" s="65"/>
      <c r="C72" s="65"/>
      <c r="D72" s="65"/>
      <c r="E72" s="65"/>
      <c r="F72" s="65"/>
      <c r="G72" s="65"/>
      <c r="H72" s="65"/>
      <c r="I72" s="48">
        <v>285107</v>
      </c>
      <c r="J72" s="47"/>
      <c r="K72" s="47"/>
      <c r="L72" s="47"/>
      <c r="M72" s="47"/>
      <c r="N72" s="47"/>
      <c r="O72" s="17"/>
      <c r="P72" s="18"/>
      <c r="Q72" s="17"/>
      <c r="R72" s="17"/>
      <c r="S72" s="17"/>
    </row>
    <row r="73" spans="1:35" x14ac:dyDescent="0.2">
      <c r="A73" s="72" t="s">
        <v>131</v>
      </c>
      <c r="B73" s="65"/>
      <c r="C73" s="65"/>
      <c r="D73" s="65"/>
      <c r="E73" s="65"/>
      <c r="F73" s="65"/>
      <c r="G73" s="65"/>
      <c r="H73" s="65"/>
      <c r="I73" s="48">
        <v>138672</v>
      </c>
      <c r="J73" s="47"/>
      <c r="K73" s="47"/>
      <c r="L73" s="47"/>
      <c r="M73" s="47"/>
      <c r="N73" s="47"/>
      <c r="O73" s="17"/>
      <c r="P73" s="18"/>
      <c r="Q73" s="17"/>
      <c r="R73" s="17"/>
      <c r="S73" s="17"/>
    </row>
    <row r="74" spans="1:35" ht="25.5" x14ac:dyDescent="0.2">
      <c r="A74" s="68" t="s">
        <v>245</v>
      </c>
      <c r="B74" s="69"/>
      <c r="C74" s="69"/>
      <c r="D74" s="69"/>
      <c r="E74" s="69"/>
      <c r="F74" s="69"/>
      <c r="G74" s="69"/>
      <c r="H74" s="69"/>
      <c r="I74" s="59">
        <v>1792477</v>
      </c>
      <c r="J74" s="60"/>
      <c r="K74" s="60"/>
      <c r="L74" s="60"/>
      <c r="M74" s="60"/>
      <c r="N74" s="60" t="s">
        <v>239</v>
      </c>
      <c r="O74" s="17"/>
      <c r="P74" s="18"/>
      <c r="Q74" s="17"/>
      <c r="R74" s="17"/>
      <c r="S74" s="17"/>
    </row>
    <row r="75" spans="1:35" ht="21" customHeight="1" x14ac:dyDescent="0.2">
      <c r="A75" s="70" t="s">
        <v>246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</row>
    <row r="76" spans="1:35" ht="102" x14ac:dyDescent="0.2">
      <c r="A76" s="44">
        <v>41</v>
      </c>
      <c r="B76" s="45" t="s">
        <v>247</v>
      </c>
      <c r="C76" s="46" t="str">
        <f t="shared" ref="C76:C122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Установка стропил
1 м3 древесины в конструкции
156892 руб. НР 90%=118%*(0,85*0,9) от ФОТ (174324 руб.)
74959 руб.СП 43%=63%*(0,8*0,85) от ФОТ (174324 руб.)
</v>
      </c>
      <c r="D76" s="44">
        <v>44.314</v>
      </c>
      <c r="E76" s="47" t="s">
        <v>248</v>
      </c>
      <c r="F76" s="47" t="s">
        <v>249</v>
      </c>
      <c r="G76" s="47">
        <v>2062.2600000000002</v>
      </c>
      <c r="H76" s="58" t="s">
        <v>250</v>
      </c>
      <c r="I76" s="48">
        <v>534949</v>
      </c>
      <c r="J76" s="47">
        <v>172414</v>
      </c>
      <c r="K76" s="47" t="s">
        <v>251</v>
      </c>
      <c r="L76" s="47" t="str">
        <f>IF(44.314*2062.26=0," ",TEXT(,ROUND((44.314*2062.26*3.71),2)))</f>
        <v>339045.73</v>
      </c>
      <c r="M76" s="47" t="s">
        <v>252</v>
      </c>
      <c r="N76" s="47" t="s">
        <v>253</v>
      </c>
      <c r="O76" s="49"/>
      <c r="P76" s="49"/>
      <c r="Q76" s="49"/>
      <c r="R76" s="49"/>
      <c r="S76" s="49"/>
      <c r="T76" s="50"/>
      <c r="U76" s="50"/>
      <c r="V76" s="50"/>
      <c r="W76" s="50"/>
      <c r="X76" s="50"/>
      <c r="Y76" s="50"/>
      <c r="Z76" s="50"/>
      <c r="AA76" s="50" t="s">
        <v>89</v>
      </c>
      <c r="AB76" s="50" t="s">
        <v>90</v>
      </c>
      <c r="AC76" s="50">
        <v>156892</v>
      </c>
      <c r="AD76" s="50">
        <v>74959</v>
      </c>
      <c r="AE76" s="50"/>
      <c r="AF76" s="50" t="s">
        <v>254</v>
      </c>
      <c r="AG76" s="50" t="s">
        <v>224</v>
      </c>
      <c r="AH76" s="50"/>
      <c r="AI76" s="50">
        <f>172414+1910</f>
        <v>174324</v>
      </c>
    </row>
    <row r="77" spans="1:35" ht="76.5" x14ac:dyDescent="0.2">
      <c r="A77" s="44">
        <v>42</v>
      </c>
      <c r="B77" s="45" t="s">
        <v>255</v>
      </c>
      <c r="C77" s="46" t="str">
        <f t="shared" ca="1" si="2"/>
        <v xml:space="preserve">Устройство обрешетки сплошной из досок
100 м2
13739 руб. НР 71%=83%*0,85 от ФОТ (19350 руб.)
10062 руб.СП 52%=65%*0,8 от ФОТ (19350 руб.)
</v>
      </c>
      <c r="D77" s="44" t="s">
        <v>256</v>
      </c>
      <c r="E77" s="47" t="s">
        <v>257</v>
      </c>
      <c r="F77" s="47" t="s">
        <v>258</v>
      </c>
      <c r="G77" s="47">
        <v>2198.6799999999998</v>
      </c>
      <c r="H77" s="58" t="s">
        <v>259</v>
      </c>
      <c r="I77" s="48">
        <v>74423</v>
      </c>
      <c r="J77" s="47">
        <v>18911</v>
      </c>
      <c r="K77" s="47" t="s">
        <v>260</v>
      </c>
      <c r="L77" s="47" t="str">
        <f>IF(4.428*2198.68=0," ",TEXT(,ROUND((4.428*2198.68*5.51),2)))</f>
        <v>53644.01</v>
      </c>
      <c r="M77" s="47" t="s">
        <v>261</v>
      </c>
      <c r="N77" s="47" t="s">
        <v>262</v>
      </c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  <c r="AA77" s="50" t="s">
        <v>38</v>
      </c>
      <c r="AB77" s="50" t="s">
        <v>39</v>
      </c>
      <c r="AC77" s="50">
        <v>13739</v>
      </c>
      <c r="AD77" s="50">
        <v>10062</v>
      </c>
      <c r="AE77" s="50"/>
      <c r="AF77" s="50" t="s">
        <v>263</v>
      </c>
      <c r="AG77" s="50" t="s">
        <v>264</v>
      </c>
      <c r="AH77" s="50"/>
      <c r="AI77" s="50">
        <f>18911+439</f>
        <v>19350</v>
      </c>
    </row>
    <row r="78" spans="1:35" ht="63.75" x14ac:dyDescent="0.2">
      <c r="A78" s="44">
        <v>43</v>
      </c>
      <c r="B78" s="45" t="s">
        <v>265</v>
      </c>
      <c r="C78" s="46" t="str">
        <f t="shared" ca="1" si="2"/>
        <v xml:space="preserve">Доски необрезные хвойных пород длиной: 4-6,5 м, все ширины, толщиной 25 мм, III сорта
м3
</v>
      </c>
      <c r="D78" s="44">
        <v>-11.69</v>
      </c>
      <c r="E78" s="47">
        <v>792</v>
      </c>
      <c r="F78" s="47"/>
      <c r="G78" s="47">
        <v>792</v>
      </c>
      <c r="H78" s="58" t="s">
        <v>266</v>
      </c>
      <c r="I78" s="48">
        <v>-52206</v>
      </c>
      <c r="J78" s="47"/>
      <c r="K78" s="47"/>
      <c r="L78" s="47" t="str">
        <f>IF(-11.69*792=0," ",TEXT(,ROUND((-11.69*792*5.639),2)))</f>
        <v>-52208.57</v>
      </c>
      <c r="M78" s="47"/>
      <c r="N78" s="47"/>
      <c r="O78" s="49"/>
      <c r="P78" s="49"/>
      <c r="Q78" s="49"/>
      <c r="R78" s="49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 t="s">
        <v>267</v>
      </c>
      <c r="AG78" s="50" t="s">
        <v>184</v>
      </c>
      <c r="AH78" s="50"/>
      <c r="AI78" s="50">
        <f>0+0</f>
        <v>0</v>
      </c>
    </row>
    <row r="79" spans="1:35" ht="76.5" x14ac:dyDescent="0.2">
      <c r="A79" s="44">
        <v>44</v>
      </c>
      <c r="B79" s="45" t="s">
        <v>217</v>
      </c>
      <c r="C79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79" s="44">
        <v>23.38</v>
      </c>
      <c r="E79" s="47">
        <v>1320</v>
      </c>
      <c r="F79" s="47"/>
      <c r="G79" s="47">
        <v>1320</v>
      </c>
      <c r="H79" s="58" t="s">
        <v>218</v>
      </c>
      <c r="I79" s="48">
        <v>128355</v>
      </c>
      <c r="J79" s="47"/>
      <c r="K79" s="47"/>
      <c r="L79" s="47" t="str">
        <f>IF(23.38*1320=0," ",TEXT(,ROUND((23.38*1320*4.159),2)))</f>
        <v>128353.39</v>
      </c>
      <c r="M79" s="47"/>
      <c r="N79" s="47"/>
      <c r="O79" s="49"/>
      <c r="P79" s="49"/>
      <c r="Q79" s="49"/>
      <c r="R79" s="49"/>
      <c r="S79" s="49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 t="s">
        <v>219</v>
      </c>
      <c r="AG79" s="50" t="s">
        <v>184</v>
      </c>
      <c r="AH79" s="50"/>
      <c r="AI79" s="50">
        <f>0+0</f>
        <v>0</v>
      </c>
    </row>
    <row r="80" spans="1:35" ht="89.25" x14ac:dyDescent="0.2">
      <c r="A80" s="44">
        <v>45</v>
      </c>
      <c r="B80" s="45" t="s">
        <v>268</v>
      </c>
      <c r="C80" s="46" t="str">
        <f t="shared" ca="1" si="2"/>
        <v xml:space="preserve">Устройство обрешетки с прозорами из досок и брусков под кровлю: из листовой стали
100 м2
9179 руб. НР 71%=83%*0,85 от ФОТ (12928 руб.)
6723 руб.СП 52%=65%*0,8 от ФОТ (12928 руб.)
</v>
      </c>
      <c r="D80" s="44">
        <v>4.4029999999999996</v>
      </c>
      <c r="E80" s="47" t="s">
        <v>269</v>
      </c>
      <c r="F80" s="47" t="s">
        <v>270</v>
      </c>
      <c r="G80" s="47">
        <v>1570.73</v>
      </c>
      <c r="H80" s="58" t="s">
        <v>271</v>
      </c>
      <c r="I80" s="48">
        <v>50173</v>
      </c>
      <c r="J80" s="47">
        <v>12607</v>
      </c>
      <c r="K80" s="47" t="s">
        <v>272</v>
      </c>
      <c r="L80" s="47" t="str">
        <f>IF(4.403*1570.73=0," ",TEXT(,ROUND((4.403*1570.73*5.26),2)))</f>
        <v>36377.76</v>
      </c>
      <c r="M80" s="47" t="s">
        <v>273</v>
      </c>
      <c r="N80" s="47" t="s">
        <v>274</v>
      </c>
      <c r="O80" s="49"/>
      <c r="P80" s="49"/>
      <c r="Q80" s="49"/>
      <c r="R80" s="49"/>
      <c r="S80" s="49"/>
      <c r="T80" s="50"/>
      <c r="U80" s="50"/>
      <c r="V80" s="50"/>
      <c r="W80" s="50"/>
      <c r="X80" s="50"/>
      <c r="Y80" s="50"/>
      <c r="Z80" s="50"/>
      <c r="AA80" s="50" t="s">
        <v>38</v>
      </c>
      <c r="AB80" s="50" t="s">
        <v>39</v>
      </c>
      <c r="AC80" s="50">
        <v>9179</v>
      </c>
      <c r="AD80" s="50">
        <v>6723</v>
      </c>
      <c r="AE80" s="50"/>
      <c r="AF80" s="50" t="s">
        <v>275</v>
      </c>
      <c r="AG80" s="50" t="s">
        <v>264</v>
      </c>
      <c r="AH80" s="50"/>
      <c r="AI80" s="50">
        <f>12607+321</f>
        <v>12928</v>
      </c>
    </row>
    <row r="81" spans="1:35" ht="63.75" x14ac:dyDescent="0.2">
      <c r="A81" s="44">
        <v>46</v>
      </c>
      <c r="B81" s="45" t="s">
        <v>214</v>
      </c>
      <c r="C81" s="46" t="str">
        <f t="shared" ca="1" si="2"/>
        <v xml:space="preserve">Доски необрезные хвойных пород длиной: 4-6,5 м, все ширины, толщиной 32-40 мм, III сорта
м3
</v>
      </c>
      <c r="D81" s="44">
        <v>-7.9249999999999998</v>
      </c>
      <c r="E81" s="47">
        <v>832.7</v>
      </c>
      <c r="F81" s="47"/>
      <c r="G81" s="47">
        <v>832.7</v>
      </c>
      <c r="H81" s="58" t="s">
        <v>215</v>
      </c>
      <c r="I81" s="48">
        <v>-35397</v>
      </c>
      <c r="J81" s="47"/>
      <c r="K81" s="47"/>
      <c r="L81" s="47" t="str">
        <f>IF(-7.925*832.7=0," ",TEXT(,ROUND((-7.925*832.7*5.364),2)))</f>
        <v>-35397.83</v>
      </c>
      <c r="M81" s="47"/>
      <c r="N81" s="47"/>
      <c r="O81" s="49"/>
      <c r="P81" s="49"/>
      <c r="Q81" s="49"/>
      <c r="R81" s="49"/>
      <c r="S81" s="49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 t="s">
        <v>216</v>
      </c>
      <c r="AG81" s="50" t="s">
        <v>184</v>
      </c>
      <c r="AH81" s="50"/>
      <c r="AI81" s="50">
        <f>0+0</f>
        <v>0</v>
      </c>
    </row>
    <row r="82" spans="1:35" ht="76.5" x14ac:dyDescent="0.2">
      <c r="A82" s="44">
        <v>47</v>
      </c>
      <c r="B82" s="45" t="s">
        <v>217</v>
      </c>
      <c r="C82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82" s="44">
        <v>8.7159999999999993</v>
      </c>
      <c r="E82" s="47">
        <v>1320</v>
      </c>
      <c r="F82" s="47"/>
      <c r="G82" s="47">
        <v>1320</v>
      </c>
      <c r="H82" s="58" t="s">
        <v>218</v>
      </c>
      <c r="I82" s="48">
        <v>47849</v>
      </c>
      <c r="J82" s="47"/>
      <c r="K82" s="47"/>
      <c r="L82" s="47" t="str">
        <f>IF(8.716*1320=0," ",TEXT(,ROUND((8.716*1320*4.159),2)))</f>
        <v>47849.79</v>
      </c>
      <c r="M82" s="47"/>
      <c r="N82" s="47"/>
      <c r="O82" s="49"/>
      <c r="P82" s="49"/>
      <c r="Q82" s="49"/>
      <c r="R82" s="49"/>
      <c r="S82" s="49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 t="s">
        <v>219</v>
      </c>
      <c r="AG82" s="50" t="s">
        <v>184</v>
      </c>
      <c r="AH82" s="50"/>
      <c r="AI82" s="50">
        <f>0+0</f>
        <v>0</v>
      </c>
    </row>
    <row r="83" spans="1:35" ht="89.25" x14ac:dyDescent="0.2">
      <c r="A83" s="44">
        <v>48</v>
      </c>
      <c r="B83" s="45" t="s">
        <v>145</v>
      </c>
      <c r="C83" s="46" t="str">
        <f t="shared" ca="1" si="2"/>
        <v xml:space="preserve">Устройство покрытия из рулонных материалов: насухо без промазки кромок
100 м2 кровли
4740 руб. НР 71%=83%*0,85 от ФОТ (6676 руб.)
3472 руб.СП 52%=65%*0,8 от ФОТ (6676 руб.)
</v>
      </c>
      <c r="D83" s="44">
        <v>10.91</v>
      </c>
      <c r="E83" s="47" t="s">
        <v>146</v>
      </c>
      <c r="F83" s="47">
        <v>5.23</v>
      </c>
      <c r="G83" s="47">
        <v>883.33</v>
      </c>
      <c r="H83" s="58" t="s">
        <v>147</v>
      </c>
      <c r="I83" s="48">
        <v>55632</v>
      </c>
      <c r="J83" s="47">
        <v>6676</v>
      </c>
      <c r="K83" s="47">
        <v>674</v>
      </c>
      <c r="L83" s="47" t="str">
        <f>IF(10.91*883.33=0," ",TEXT(,ROUND((10.91*883.33*5.01),2)))</f>
        <v>48282.02</v>
      </c>
      <c r="M83" s="47">
        <v>4.5199999999999996</v>
      </c>
      <c r="N83" s="47">
        <v>49.31</v>
      </c>
      <c r="O83" s="49"/>
      <c r="P83" s="49"/>
      <c r="Q83" s="49"/>
      <c r="R83" s="49"/>
      <c r="S83" s="49"/>
      <c r="T83" s="50"/>
      <c r="U83" s="50"/>
      <c r="V83" s="50"/>
      <c r="W83" s="50"/>
      <c r="X83" s="50"/>
      <c r="Y83" s="50"/>
      <c r="Z83" s="50"/>
      <c r="AA83" s="50" t="s">
        <v>38</v>
      </c>
      <c r="AB83" s="50" t="s">
        <v>39</v>
      </c>
      <c r="AC83" s="50">
        <v>4740</v>
      </c>
      <c r="AD83" s="50">
        <v>3472</v>
      </c>
      <c r="AE83" s="50"/>
      <c r="AF83" s="50" t="s">
        <v>148</v>
      </c>
      <c r="AG83" s="50" t="s">
        <v>55</v>
      </c>
      <c r="AH83" s="50"/>
      <c r="AI83" s="50">
        <f>6676+0</f>
        <v>6676</v>
      </c>
    </row>
    <row r="84" spans="1:35" ht="63.75" x14ac:dyDescent="0.2">
      <c r="A84" s="44">
        <v>49</v>
      </c>
      <c r="B84" s="45" t="s">
        <v>149</v>
      </c>
      <c r="C84" s="46" t="str">
        <f t="shared" ca="1" si="2"/>
        <v xml:space="preserve">Рубероид кровельный с крупнозернистой посыпкой марки: РКК-350б
м2
</v>
      </c>
      <c r="D84" s="44">
        <v>-1255</v>
      </c>
      <c r="E84" s="47">
        <v>7.46</v>
      </c>
      <c r="F84" s="47"/>
      <c r="G84" s="47">
        <v>7.46</v>
      </c>
      <c r="H84" s="58" t="s">
        <v>150</v>
      </c>
      <c r="I84" s="48">
        <v>-46847</v>
      </c>
      <c r="J84" s="47"/>
      <c r="K84" s="47"/>
      <c r="L84" s="47" t="str">
        <f>IF(-1255*7.46=0," ",TEXT(,ROUND((-1255*7.46*5.004),2)))</f>
        <v>-46848.95</v>
      </c>
      <c r="M84" s="47"/>
      <c r="N84" s="47"/>
      <c r="O84" s="49"/>
      <c r="P84" s="49"/>
      <c r="Q84" s="49"/>
      <c r="R84" s="49"/>
      <c r="S84" s="49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 t="s">
        <v>151</v>
      </c>
      <c r="AG84" s="50" t="s">
        <v>152</v>
      </c>
      <c r="AH84" s="50"/>
      <c r="AI84" s="50">
        <f>0+0</f>
        <v>0</v>
      </c>
    </row>
    <row r="85" spans="1:35" ht="63.75" x14ac:dyDescent="0.2">
      <c r="A85" s="44">
        <v>50</v>
      </c>
      <c r="B85" s="45" t="s">
        <v>276</v>
      </c>
      <c r="C85" s="46" t="str">
        <f t="shared" ca="1" si="2"/>
        <v xml:space="preserve">Изоспан: Защитный материал марки D 19,49/5,56=3,51
м2
</v>
      </c>
      <c r="D85" s="44">
        <v>1255</v>
      </c>
      <c r="E85" s="47">
        <v>3.51</v>
      </c>
      <c r="F85" s="47"/>
      <c r="G85" s="47">
        <v>3.51</v>
      </c>
      <c r="H85" s="58" t="s">
        <v>154</v>
      </c>
      <c r="I85" s="48">
        <v>24492</v>
      </c>
      <c r="J85" s="47"/>
      <c r="K85" s="47"/>
      <c r="L85" s="47" t="str">
        <f>IF(1255*3.51=0," ",TEXT(,ROUND((1255*3.51*5.56),2)))</f>
        <v>24492.08</v>
      </c>
      <c r="M85" s="47"/>
      <c r="N85" s="47"/>
      <c r="O85" s="49"/>
      <c r="P85" s="49"/>
      <c r="Q85" s="49"/>
      <c r="R85" s="49"/>
      <c r="S85" s="49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 t="s">
        <v>277</v>
      </c>
      <c r="AG85" s="50" t="s">
        <v>152</v>
      </c>
      <c r="AH85" s="50"/>
      <c r="AI85" s="50">
        <f>0+0</f>
        <v>0</v>
      </c>
    </row>
    <row r="86" spans="1:35" ht="102" x14ac:dyDescent="0.2">
      <c r="A86" s="44">
        <v>51</v>
      </c>
      <c r="B86" s="45" t="s">
        <v>278</v>
      </c>
      <c r="C86" s="46" t="str">
        <f t="shared" ca="1" si="2"/>
        <v xml:space="preserve">Устройство слуховых окон
1 слуховое окно
4076 руб. НР 90%=118%*(0,85*0,9) от ФОТ (4529 руб.)
1947 руб.СП 43%=63%*(0,8*0,85) от ФОТ (4529 руб.)
</v>
      </c>
      <c r="D86" s="44">
        <v>4</v>
      </c>
      <c r="E86" s="47" t="s">
        <v>279</v>
      </c>
      <c r="F86" s="47" t="s">
        <v>280</v>
      </c>
      <c r="G86" s="47">
        <v>300.2</v>
      </c>
      <c r="H86" s="58" t="s">
        <v>281</v>
      </c>
      <c r="I86" s="48">
        <v>12155</v>
      </c>
      <c r="J86" s="47">
        <v>4394</v>
      </c>
      <c r="K86" s="47" t="s">
        <v>282</v>
      </c>
      <c r="L86" s="47" t="str">
        <f>IF(4*300.2=0," ",TEXT(,ROUND((4*300.2*5.43),2)))</f>
        <v>6520.34</v>
      </c>
      <c r="M86" s="47" t="s">
        <v>283</v>
      </c>
      <c r="N86" s="47" t="s">
        <v>284</v>
      </c>
      <c r="O86" s="49"/>
      <c r="P86" s="49"/>
      <c r="Q86" s="49"/>
      <c r="R86" s="49"/>
      <c r="S86" s="49"/>
      <c r="T86" s="50"/>
      <c r="U86" s="50"/>
      <c r="V86" s="50"/>
      <c r="W86" s="50"/>
      <c r="X86" s="50"/>
      <c r="Y86" s="50"/>
      <c r="Z86" s="50"/>
      <c r="AA86" s="50" t="s">
        <v>89</v>
      </c>
      <c r="AB86" s="50" t="s">
        <v>90</v>
      </c>
      <c r="AC86" s="50">
        <v>4076</v>
      </c>
      <c r="AD86" s="50">
        <v>1947</v>
      </c>
      <c r="AE86" s="50"/>
      <c r="AF86" s="50" t="s">
        <v>285</v>
      </c>
      <c r="AG86" s="50" t="s">
        <v>286</v>
      </c>
      <c r="AH86" s="50"/>
      <c r="AI86" s="50">
        <f>4394+135</f>
        <v>4529</v>
      </c>
    </row>
    <row r="87" spans="1:35" ht="51" x14ac:dyDescent="0.2">
      <c r="A87" s="44">
        <v>52</v>
      </c>
      <c r="B87" s="45" t="s">
        <v>287</v>
      </c>
      <c r="C87" s="46" t="str">
        <f t="shared" ca="1" si="2"/>
        <v xml:space="preserve">Петли форточные накладные размером 70х55 мм
компл.
</v>
      </c>
      <c r="D87" s="44">
        <v>4</v>
      </c>
      <c r="E87" s="47">
        <v>3.74</v>
      </c>
      <c r="F87" s="47"/>
      <c r="G87" s="47">
        <v>3.74</v>
      </c>
      <c r="H87" s="58" t="s">
        <v>288</v>
      </c>
      <c r="I87" s="48">
        <v>35</v>
      </c>
      <c r="J87" s="47"/>
      <c r="K87" s="47"/>
      <c r="L87" s="47" t="str">
        <f>IF(4*3.74=0," ",TEXT(,ROUND((4*3.74*2.338),2)))</f>
        <v>34.98</v>
      </c>
      <c r="M87" s="47"/>
      <c r="N87" s="47"/>
      <c r="O87" s="49"/>
      <c r="P87" s="49"/>
      <c r="Q87" s="49"/>
      <c r="R87" s="49"/>
      <c r="S87" s="49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 t="s">
        <v>289</v>
      </c>
      <c r="AG87" s="50" t="s">
        <v>290</v>
      </c>
      <c r="AH87" s="50"/>
      <c r="AI87" s="50">
        <f>0+0</f>
        <v>0</v>
      </c>
    </row>
    <row r="88" spans="1:35" ht="63.75" x14ac:dyDescent="0.2">
      <c r="A88" s="44">
        <v>53</v>
      </c>
      <c r="B88" s="45" t="s">
        <v>291</v>
      </c>
      <c r="C88" s="46" t="str">
        <f t="shared" ca="1" si="2"/>
        <v xml:space="preserve">Шпингалеты дверные размером 230х26 мм, оцинкованные или окрашенные
компл.
</v>
      </c>
      <c r="D88" s="44">
        <v>8</v>
      </c>
      <c r="E88" s="47">
        <v>13.42</v>
      </c>
      <c r="F88" s="47"/>
      <c r="G88" s="47">
        <v>13.42</v>
      </c>
      <c r="H88" s="58" t="s">
        <v>292</v>
      </c>
      <c r="I88" s="48">
        <v>213</v>
      </c>
      <c r="J88" s="47"/>
      <c r="K88" s="47"/>
      <c r="L88" s="47" t="str">
        <f>IF(8*13.42=0," ",TEXT(,ROUND((8*13.42*1.986),2)))</f>
        <v>213.22</v>
      </c>
      <c r="M88" s="47"/>
      <c r="N88" s="47"/>
      <c r="O88" s="49"/>
      <c r="P88" s="49"/>
      <c r="Q88" s="49"/>
      <c r="R88" s="49"/>
      <c r="S88" s="49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 t="s">
        <v>293</v>
      </c>
      <c r="AG88" s="50" t="s">
        <v>290</v>
      </c>
      <c r="AH88" s="50"/>
      <c r="AI88" s="50">
        <f>0+0</f>
        <v>0</v>
      </c>
    </row>
    <row r="89" spans="1:35" ht="127.5" x14ac:dyDescent="0.2">
      <c r="A89" s="44">
        <v>54</v>
      </c>
      <c r="B89" s="45" t="s">
        <v>294</v>
      </c>
      <c r="C89" s="46" t="str">
        <f t="shared" ca="1" si="2"/>
        <v xml:space="preserve">Антисептическая обработка деревянных конструкций составом "Пирилакс" при помощи аппарата аэрозольно-капельного распыления
100 м2 обрабатываемой поверхности
32428 руб. НР 90%=118%*(0,85*0,9) от ФОТ (36031 руб.)
15493 руб.СП 43%=63%*(0,8*0,85) от ФОТ (36031 руб.)
</v>
      </c>
      <c r="D89" s="44">
        <v>38.258000000000003</v>
      </c>
      <c r="E89" s="47" t="s">
        <v>295</v>
      </c>
      <c r="F89" s="47" t="s">
        <v>296</v>
      </c>
      <c r="G89" s="47">
        <v>176.17</v>
      </c>
      <c r="H89" s="58" t="s">
        <v>297</v>
      </c>
      <c r="I89" s="48">
        <v>130027</v>
      </c>
      <c r="J89" s="47">
        <v>35642</v>
      </c>
      <c r="K89" s="47" t="s">
        <v>298</v>
      </c>
      <c r="L89" s="47" t="str">
        <f>IF(38.258*176.17=0," ",TEXT(,ROUND((38.258*176.17*10.79),2)))</f>
        <v>72723.65</v>
      </c>
      <c r="M89" s="47" t="s">
        <v>299</v>
      </c>
      <c r="N89" s="47" t="s">
        <v>300</v>
      </c>
      <c r="O89" s="49"/>
      <c r="P89" s="49"/>
      <c r="Q89" s="49"/>
      <c r="R89" s="49"/>
      <c r="S89" s="49"/>
      <c r="T89" s="50"/>
      <c r="U89" s="50"/>
      <c r="V89" s="50"/>
      <c r="W89" s="50"/>
      <c r="X89" s="50"/>
      <c r="Y89" s="50"/>
      <c r="Z89" s="50"/>
      <c r="AA89" s="50" t="s">
        <v>89</v>
      </c>
      <c r="AB89" s="50" t="s">
        <v>90</v>
      </c>
      <c r="AC89" s="50">
        <v>32428</v>
      </c>
      <c r="AD89" s="50">
        <v>15493</v>
      </c>
      <c r="AE89" s="50"/>
      <c r="AF89" s="50" t="s">
        <v>301</v>
      </c>
      <c r="AG89" s="50" t="s">
        <v>302</v>
      </c>
      <c r="AH89" s="50"/>
      <c r="AI89" s="50">
        <f>35642+389</f>
        <v>36031</v>
      </c>
    </row>
    <row r="90" spans="1:35" ht="114.75" x14ac:dyDescent="0.2">
      <c r="A90" s="44">
        <v>55</v>
      </c>
      <c r="B90" s="45" t="s">
        <v>303</v>
      </c>
      <c r="C90" s="46" t="str">
        <f t="shared" ca="1" si="2"/>
        <v xml:space="preserve">Устройство кровли из металлочерепицы по готовым прогонам: средней сложности
100 м2 кровли
86648 руб. НР 92%=120%*(0,85*0,9) от ФОТ (94183 руб.)
41441 руб.СП 44%=65%*(0,8*0,85) от ФОТ (94183 руб.)
</v>
      </c>
      <c r="D90" s="44" t="s">
        <v>304</v>
      </c>
      <c r="E90" s="47" t="s">
        <v>305</v>
      </c>
      <c r="F90" s="47" t="s">
        <v>306</v>
      </c>
      <c r="G90" s="47">
        <v>9946</v>
      </c>
      <c r="H90" s="58" t="s">
        <v>307</v>
      </c>
      <c r="I90" s="48">
        <v>568656</v>
      </c>
      <c r="J90" s="47">
        <v>91209</v>
      </c>
      <c r="K90" s="47" t="s">
        <v>308</v>
      </c>
      <c r="L90" s="47" t="str">
        <f>IF(13.174*9946=0," ",TEXT(,ROUND((13.174*9946*3.48),2)))</f>
        <v>455979.54</v>
      </c>
      <c r="M90" s="47" t="s">
        <v>309</v>
      </c>
      <c r="N90" s="47" t="s">
        <v>310</v>
      </c>
      <c r="O90" s="49"/>
      <c r="P90" s="49"/>
      <c r="Q90" s="49"/>
      <c r="R90" s="49"/>
      <c r="S90" s="49"/>
      <c r="T90" s="50"/>
      <c r="U90" s="50"/>
      <c r="V90" s="50"/>
      <c r="W90" s="50"/>
      <c r="X90" s="50"/>
      <c r="Y90" s="50"/>
      <c r="Z90" s="50"/>
      <c r="AA90" s="50" t="s">
        <v>77</v>
      </c>
      <c r="AB90" s="50" t="s">
        <v>78</v>
      </c>
      <c r="AC90" s="50">
        <v>86648</v>
      </c>
      <c r="AD90" s="50">
        <v>41441</v>
      </c>
      <c r="AE90" s="50"/>
      <c r="AF90" s="50" t="s">
        <v>311</v>
      </c>
      <c r="AG90" s="50" t="s">
        <v>55</v>
      </c>
      <c r="AH90" s="50"/>
      <c r="AI90" s="50">
        <f>91209+2974</f>
        <v>94183</v>
      </c>
    </row>
    <row r="91" spans="1:35" ht="51" x14ac:dyDescent="0.2">
      <c r="A91" s="44">
        <v>56</v>
      </c>
      <c r="B91" s="45" t="s">
        <v>312</v>
      </c>
      <c r="C91" s="46" t="str">
        <f t="shared" ca="1" si="2"/>
        <v xml:space="preserve">Металлочерепица «Монтеррей»
м2
</v>
      </c>
      <c r="D91" s="44">
        <v>-1686</v>
      </c>
      <c r="E91" s="47">
        <v>70.5</v>
      </c>
      <c r="F91" s="47"/>
      <c r="G91" s="47">
        <v>70.5</v>
      </c>
      <c r="H91" s="58" t="s">
        <v>313</v>
      </c>
      <c r="I91" s="48">
        <v>-436940</v>
      </c>
      <c r="J91" s="47"/>
      <c r="K91" s="47"/>
      <c r="L91" s="47" t="str">
        <f>IF(-1686*70.5=0," ",TEXT(,ROUND((-1686*70.5*3.676),2)))</f>
        <v>-436940.39</v>
      </c>
      <c r="M91" s="47"/>
      <c r="N91" s="47"/>
      <c r="O91" s="49"/>
      <c r="P91" s="49"/>
      <c r="Q91" s="49"/>
      <c r="R91" s="49"/>
      <c r="S91" s="49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 t="s">
        <v>314</v>
      </c>
      <c r="AG91" s="50" t="s">
        <v>152</v>
      </c>
      <c r="AH91" s="50"/>
      <c r="AI91" s="50">
        <f>0+0</f>
        <v>0</v>
      </c>
    </row>
    <row r="92" spans="1:35" ht="63.75" x14ac:dyDescent="0.2">
      <c r="A92" s="44">
        <v>57</v>
      </c>
      <c r="B92" s="45" t="s">
        <v>315</v>
      </c>
      <c r="C92" s="46" t="str">
        <f t="shared" ca="1" si="2"/>
        <v xml:space="preserve">Профилированный лист оцинкованный: НС44-1000-0,7
т
</v>
      </c>
      <c r="D92" s="44" t="s">
        <v>316</v>
      </c>
      <c r="E92" s="47">
        <v>10090.379999999999</v>
      </c>
      <c r="F92" s="47"/>
      <c r="G92" s="47">
        <v>10090.379999999999</v>
      </c>
      <c r="H92" s="58" t="s">
        <v>317</v>
      </c>
      <c r="I92" s="48">
        <v>438578</v>
      </c>
      <c r="J92" s="47"/>
      <c r="K92" s="47"/>
      <c r="L92" s="47" t="str">
        <f>IF(9.5865*10090.38=0," ",TEXT(,ROUND((9.5865*10090.38*4.534),2)))</f>
        <v>438580.29</v>
      </c>
      <c r="M92" s="47"/>
      <c r="N92" s="47"/>
      <c r="O92" s="49"/>
      <c r="P92" s="49"/>
      <c r="Q92" s="49"/>
      <c r="R92" s="49"/>
      <c r="S92" s="49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 t="s">
        <v>318</v>
      </c>
      <c r="AG92" s="50" t="s">
        <v>174</v>
      </c>
      <c r="AH92" s="50"/>
      <c r="AI92" s="50">
        <f>0+0</f>
        <v>0</v>
      </c>
    </row>
    <row r="93" spans="1:35" ht="63.75" x14ac:dyDescent="0.2">
      <c r="A93" s="44">
        <v>58</v>
      </c>
      <c r="B93" s="45" t="s">
        <v>319</v>
      </c>
      <c r="C93" s="46" t="str">
        <f t="shared" ca="1" si="2"/>
        <v xml:space="preserve">Сталь листовая оцинкованная толщиной листа: 0,55 мм
т
</v>
      </c>
      <c r="D93" s="44">
        <v>1.6787000000000001</v>
      </c>
      <c r="E93" s="47">
        <v>10484</v>
      </c>
      <c r="F93" s="47"/>
      <c r="G93" s="47">
        <v>10484</v>
      </c>
      <c r="H93" s="58" t="s">
        <v>320</v>
      </c>
      <c r="I93" s="48">
        <v>70273</v>
      </c>
      <c r="J93" s="47"/>
      <c r="K93" s="47"/>
      <c r="L93" s="47" t="str">
        <f>IF(1.6787*10484=0," ",TEXT(,ROUND((1.6787*10484*3.993),2)))</f>
        <v>70274.77</v>
      </c>
      <c r="M93" s="47"/>
      <c r="N93" s="47"/>
      <c r="O93" s="49"/>
      <c r="P93" s="49"/>
      <c r="Q93" s="49"/>
      <c r="R93" s="49"/>
      <c r="S93" s="49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 t="s">
        <v>321</v>
      </c>
      <c r="AG93" s="50" t="s">
        <v>174</v>
      </c>
      <c r="AH93" s="50"/>
      <c r="AI93" s="50">
        <f>0+0</f>
        <v>0</v>
      </c>
    </row>
    <row r="94" spans="1:35" ht="63.75" x14ac:dyDescent="0.2">
      <c r="A94" s="44">
        <v>59</v>
      </c>
      <c r="B94" s="45" t="s">
        <v>322</v>
      </c>
      <c r="C94" s="46" t="str">
        <f t="shared" ca="1" si="2"/>
        <v xml:space="preserve">Сталь листовая оцинкованная толщиной листа: 0,55 мм
т
</v>
      </c>
      <c r="D94" s="44">
        <v>0.34139999999999998</v>
      </c>
      <c r="E94" s="47">
        <v>10484</v>
      </c>
      <c r="F94" s="47"/>
      <c r="G94" s="47">
        <v>10484</v>
      </c>
      <c r="H94" s="58" t="s">
        <v>320</v>
      </c>
      <c r="I94" s="48">
        <v>14291</v>
      </c>
      <c r="J94" s="47"/>
      <c r="K94" s="47"/>
      <c r="L94" s="47" t="str">
        <f>IF(0.3414*10484=0," ",TEXT(,ROUND((0.3414*10484*3.993),2)))</f>
        <v>14291.9</v>
      </c>
      <c r="M94" s="47"/>
      <c r="N94" s="47"/>
      <c r="O94" s="49"/>
      <c r="P94" s="49"/>
      <c r="Q94" s="49"/>
      <c r="R94" s="49"/>
      <c r="S94" s="49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 t="s">
        <v>321</v>
      </c>
      <c r="AG94" s="50" t="s">
        <v>174</v>
      </c>
      <c r="AH94" s="50"/>
      <c r="AI94" s="50">
        <f>0+0</f>
        <v>0</v>
      </c>
    </row>
    <row r="95" spans="1:35" ht="102" x14ac:dyDescent="0.2">
      <c r="A95" s="44">
        <v>60</v>
      </c>
      <c r="B95" s="45" t="s">
        <v>323</v>
      </c>
      <c r="C95" s="46" t="str">
        <f t="shared" ca="1" si="2"/>
        <v xml:space="preserve">Резка стального профилированного настила
1 м реза
2950 руб. НР 69%=90%*(0,85*0,9) от ФОТ (4276 руб.)
2480 руб.СП 58%=85%*(0,8*0,85) от ФОТ (4276 руб.)
</v>
      </c>
      <c r="D95" s="44">
        <v>72</v>
      </c>
      <c r="E95" s="47" t="s">
        <v>324</v>
      </c>
      <c r="F95" s="47">
        <v>0.55000000000000004</v>
      </c>
      <c r="G95" s="47"/>
      <c r="H95" s="58" t="s">
        <v>325</v>
      </c>
      <c r="I95" s="48">
        <v>4377</v>
      </c>
      <c r="J95" s="47">
        <v>4276</v>
      </c>
      <c r="K95" s="47">
        <v>102</v>
      </c>
      <c r="L95" s="47" t="str">
        <f>IF(72*0=0," ",TEXT(,ROUND((72*0*1),2)))</f>
        <v xml:space="preserve"> </v>
      </c>
      <c r="M95" s="47">
        <v>0.34</v>
      </c>
      <c r="N95" s="47">
        <v>24.48</v>
      </c>
      <c r="O95" s="49"/>
      <c r="P95" s="49"/>
      <c r="Q95" s="49"/>
      <c r="R95" s="49"/>
      <c r="S95" s="49"/>
      <c r="T95" s="50"/>
      <c r="U95" s="50"/>
      <c r="V95" s="50"/>
      <c r="W95" s="50"/>
      <c r="X95" s="50"/>
      <c r="Y95" s="50"/>
      <c r="Z95" s="50"/>
      <c r="AA95" s="50" t="s">
        <v>228</v>
      </c>
      <c r="AB95" s="50" t="s">
        <v>229</v>
      </c>
      <c r="AC95" s="50">
        <v>2950</v>
      </c>
      <c r="AD95" s="50">
        <v>2480</v>
      </c>
      <c r="AE95" s="50"/>
      <c r="AF95" s="50" t="s">
        <v>326</v>
      </c>
      <c r="AG95" s="50" t="s">
        <v>327</v>
      </c>
      <c r="AH95" s="50"/>
      <c r="AI95" s="50">
        <f>4276+0</f>
        <v>4276</v>
      </c>
    </row>
    <row r="96" spans="1:35" ht="102" x14ac:dyDescent="0.2">
      <c r="A96" s="44">
        <v>61</v>
      </c>
      <c r="B96" s="45" t="s">
        <v>328</v>
      </c>
      <c r="C96" s="46" t="str">
        <f t="shared" ca="1" si="2"/>
        <v xml:space="preserve">Устройство желобов: настенных
100 м желобов
22405 руб. НР 92%=120%*(0,85*0,9) от ФОТ (24353 руб.)
10715 руб.СП 44%=65%*(0,8*0,85) от ФОТ (24353 руб.)
</v>
      </c>
      <c r="D96" s="44">
        <v>1.6632</v>
      </c>
      <c r="E96" s="47" t="s">
        <v>329</v>
      </c>
      <c r="F96" s="47" t="s">
        <v>330</v>
      </c>
      <c r="G96" s="47">
        <v>17933.62</v>
      </c>
      <c r="H96" s="58" t="s">
        <v>331</v>
      </c>
      <c r="I96" s="48">
        <v>147765</v>
      </c>
      <c r="J96" s="47">
        <v>23356</v>
      </c>
      <c r="K96" s="47" t="s">
        <v>332</v>
      </c>
      <c r="L96" s="47" t="str">
        <f>IF(1.6632*17933.62=0," ",TEXT(,ROUND((1.6632*17933.62*3.93),2)))</f>
        <v>117220.88</v>
      </c>
      <c r="M96" s="47" t="s">
        <v>333</v>
      </c>
      <c r="N96" s="47" t="s">
        <v>334</v>
      </c>
      <c r="O96" s="49"/>
      <c r="P96" s="49"/>
      <c r="Q96" s="49"/>
      <c r="R96" s="49"/>
      <c r="S96" s="49"/>
      <c r="T96" s="50"/>
      <c r="U96" s="50"/>
      <c r="V96" s="50"/>
      <c r="W96" s="50"/>
      <c r="X96" s="50"/>
      <c r="Y96" s="50"/>
      <c r="Z96" s="50"/>
      <c r="AA96" s="50" t="s">
        <v>77</v>
      </c>
      <c r="AB96" s="50" t="s">
        <v>78</v>
      </c>
      <c r="AC96" s="50">
        <v>22405</v>
      </c>
      <c r="AD96" s="50">
        <v>10715</v>
      </c>
      <c r="AE96" s="50"/>
      <c r="AF96" s="50" t="s">
        <v>335</v>
      </c>
      <c r="AG96" s="50" t="s">
        <v>336</v>
      </c>
      <c r="AH96" s="50"/>
      <c r="AI96" s="50">
        <f>23356+997</f>
        <v>24353</v>
      </c>
    </row>
    <row r="97" spans="1:35" ht="76.5" x14ac:dyDescent="0.2">
      <c r="A97" s="44">
        <v>62</v>
      </c>
      <c r="B97" s="45" t="s">
        <v>337</v>
      </c>
      <c r="C97" s="46" t="str">
        <f t="shared" ca="1" si="2"/>
        <v xml:space="preserve">Доски обрезные хвойных пород длиной: 2-3,75 м, шириной 75-150 мм, толщиной 44 мм и более, III сорта
м3
</v>
      </c>
      <c r="D97" s="44">
        <v>-7.4009999999999998</v>
      </c>
      <c r="E97" s="47">
        <v>968</v>
      </c>
      <c r="F97" s="47"/>
      <c r="G97" s="47">
        <v>968</v>
      </c>
      <c r="H97" s="58" t="s">
        <v>338</v>
      </c>
      <c r="I97" s="48">
        <v>-39982</v>
      </c>
      <c r="J97" s="47"/>
      <c r="K97" s="47"/>
      <c r="L97" s="47" t="str">
        <f>IF(-7.401*968=0," ",TEXT(,ROUND((-7.401*968*5.581),2)))</f>
        <v>-39983.22</v>
      </c>
      <c r="M97" s="47"/>
      <c r="N97" s="47"/>
      <c r="O97" s="49"/>
      <c r="P97" s="49"/>
      <c r="Q97" s="49"/>
      <c r="R97" s="49"/>
      <c r="S97" s="49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 t="s">
        <v>339</v>
      </c>
      <c r="AG97" s="50" t="s">
        <v>184</v>
      </c>
      <c r="AH97" s="50"/>
      <c r="AI97" s="50">
        <f>0+0</f>
        <v>0</v>
      </c>
    </row>
    <row r="98" spans="1:35" ht="76.5" x14ac:dyDescent="0.2">
      <c r="A98" s="44">
        <v>63</v>
      </c>
      <c r="B98" s="45" t="s">
        <v>217</v>
      </c>
      <c r="C98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98" s="44">
        <v>8.41</v>
      </c>
      <c r="E98" s="47">
        <v>1320</v>
      </c>
      <c r="F98" s="47"/>
      <c r="G98" s="47">
        <v>1320</v>
      </c>
      <c r="H98" s="58" t="s">
        <v>218</v>
      </c>
      <c r="I98" s="48">
        <v>46169</v>
      </c>
      <c r="J98" s="47"/>
      <c r="K98" s="47"/>
      <c r="L98" s="47" t="str">
        <f>IF(8.41*1320=0," ",TEXT(,ROUND((8.41*1320*4.159),2)))</f>
        <v>46169.89</v>
      </c>
      <c r="M98" s="47"/>
      <c r="N98" s="47"/>
      <c r="O98" s="49"/>
      <c r="P98" s="49"/>
      <c r="Q98" s="49"/>
      <c r="R98" s="49"/>
      <c r="S98" s="49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 t="s">
        <v>219</v>
      </c>
      <c r="AG98" s="50" t="s">
        <v>184</v>
      </c>
      <c r="AH98" s="50"/>
      <c r="AI98" s="50">
        <f>0+0</f>
        <v>0</v>
      </c>
    </row>
    <row r="99" spans="1:35" ht="63.75" x14ac:dyDescent="0.2">
      <c r="A99" s="44">
        <v>64</v>
      </c>
      <c r="B99" s="45" t="s">
        <v>340</v>
      </c>
      <c r="C99" s="46" t="str">
        <f t="shared" ca="1" si="2"/>
        <v xml:space="preserve">Сталь листовая оцинкованная толщиной листа: 0,7 мм
т
</v>
      </c>
      <c r="D99" s="44">
        <v>-1.8460000000000001</v>
      </c>
      <c r="E99" s="47">
        <v>11200</v>
      </c>
      <c r="F99" s="47"/>
      <c r="G99" s="47">
        <v>11200</v>
      </c>
      <c r="H99" s="58" t="s">
        <v>341</v>
      </c>
      <c r="I99" s="48">
        <v>-71825</v>
      </c>
      <c r="J99" s="47"/>
      <c r="K99" s="47"/>
      <c r="L99" s="47" t="str">
        <f>IF(-1.846*11200=0," ",TEXT(,ROUND((-1.846*11200*3.474),2)))</f>
        <v>-71825.64</v>
      </c>
      <c r="M99" s="47"/>
      <c r="N99" s="47"/>
      <c r="O99" s="49"/>
      <c r="P99" s="49"/>
      <c r="Q99" s="49"/>
      <c r="R99" s="49"/>
      <c r="S99" s="49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 t="s">
        <v>342</v>
      </c>
      <c r="AG99" s="50" t="s">
        <v>174</v>
      </c>
      <c r="AH99" s="50"/>
      <c r="AI99" s="50">
        <f>0+0</f>
        <v>0</v>
      </c>
    </row>
    <row r="100" spans="1:35" ht="63.75" x14ac:dyDescent="0.2">
      <c r="A100" s="44">
        <v>65</v>
      </c>
      <c r="B100" s="45" t="s">
        <v>319</v>
      </c>
      <c r="C100" s="46" t="str">
        <f t="shared" ca="1" si="2"/>
        <v xml:space="preserve">Сталь листовая оцинкованная толщиной листа: 0,55 мм
т
</v>
      </c>
      <c r="D100" s="44">
        <v>1.45</v>
      </c>
      <c r="E100" s="47">
        <v>10484</v>
      </c>
      <c r="F100" s="47"/>
      <c r="G100" s="47">
        <v>10484</v>
      </c>
      <c r="H100" s="58" t="s">
        <v>320</v>
      </c>
      <c r="I100" s="48">
        <v>60702</v>
      </c>
      <c r="J100" s="47"/>
      <c r="K100" s="47"/>
      <c r="L100" s="47" t="str">
        <f>IF(1.45*10484=0," ",TEXT(,ROUND((1.45*10484*3.993),2)))</f>
        <v>60700.79</v>
      </c>
      <c r="M100" s="47"/>
      <c r="N100" s="47"/>
      <c r="O100" s="49"/>
      <c r="P100" s="49"/>
      <c r="Q100" s="49"/>
      <c r="R100" s="49"/>
      <c r="S100" s="49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 t="s">
        <v>321</v>
      </c>
      <c r="AG100" s="50" t="s">
        <v>174</v>
      </c>
      <c r="AH100" s="50"/>
      <c r="AI100" s="50">
        <f>0+0</f>
        <v>0</v>
      </c>
    </row>
    <row r="101" spans="1:35" ht="102" x14ac:dyDescent="0.2">
      <c r="A101" s="44">
        <v>66</v>
      </c>
      <c r="B101" s="45" t="s">
        <v>343</v>
      </c>
      <c r="C101" s="46" t="str">
        <f t="shared" ca="1" si="2"/>
        <v xml:space="preserve">Ограждение кровель перилами
100 м ограждения
1695 руб. НР 92%=120%*(0,85*0,9) от ФОТ (1842 руб.)
810 руб.СП 44%=65%*(0,8*0,85) от ФОТ (1842 руб.)
</v>
      </c>
      <c r="D101" s="44">
        <v>1.4950000000000001</v>
      </c>
      <c r="E101" s="47" t="s">
        <v>344</v>
      </c>
      <c r="F101" s="47" t="s">
        <v>345</v>
      </c>
      <c r="G101" s="47">
        <v>3032.91</v>
      </c>
      <c r="H101" s="58" t="s">
        <v>73</v>
      </c>
      <c r="I101" s="48">
        <v>36808</v>
      </c>
      <c r="J101" s="47">
        <v>1707</v>
      </c>
      <c r="K101" s="47" t="s">
        <v>346</v>
      </c>
      <c r="L101" s="47" t="str">
        <f>IF(1.495*3032.91=0," ",TEXT(,ROUND((1.495*3032.91*7.51),2)))</f>
        <v>34051.85</v>
      </c>
      <c r="M101" s="47" t="s">
        <v>347</v>
      </c>
      <c r="N101" s="47" t="s">
        <v>348</v>
      </c>
      <c r="O101" s="49"/>
      <c r="P101" s="49"/>
      <c r="Q101" s="49"/>
      <c r="R101" s="49"/>
      <c r="S101" s="49"/>
      <c r="T101" s="50"/>
      <c r="U101" s="50"/>
      <c r="V101" s="50"/>
      <c r="W101" s="50"/>
      <c r="X101" s="50"/>
      <c r="Y101" s="50"/>
      <c r="Z101" s="50"/>
      <c r="AA101" s="50" t="s">
        <v>77</v>
      </c>
      <c r="AB101" s="50" t="s">
        <v>78</v>
      </c>
      <c r="AC101" s="50">
        <v>1695</v>
      </c>
      <c r="AD101" s="50">
        <v>810</v>
      </c>
      <c r="AE101" s="50"/>
      <c r="AF101" s="50" t="s">
        <v>349</v>
      </c>
      <c r="AG101" s="50" t="s">
        <v>81</v>
      </c>
      <c r="AH101" s="50"/>
      <c r="AI101" s="50">
        <f>1707+135</f>
        <v>1842</v>
      </c>
    </row>
    <row r="102" spans="1:35" ht="102" x14ac:dyDescent="0.2">
      <c r="A102" s="44">
        <v>67</v>
      </c>
      <c r="B102" s="45" t="s">
        <v>350</v>
      </c>
      <c r="C102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2" s="44">
        <v>0.89280000000000004</v>
      </c>
      <c r="E102" s="47">
        <v>10045</v>
      </c>
      <c r="F102" s="47"/>
      <c r="G102" s="47">
        <v>10045</v>
      </c>
      <c r="H102" s="58" t="s">
        <v>351</v>
      </c>
      <c r="I102" s="48">
        <v>67565</v>
      </c>
      <c r="J102" s="47"/>
      <c r="K102" s="47"/>
      <c r="L102" s="47" t="str">
        <f>IF(0.8928*10045=0," ",TEXT(,ROUND((0.8928*10045*7.534),2)))</f>
        <v>67566.24</v>
      </c>
      <c r="M102" s="47"/>
      <c r="N102" s="47"/>
      <c r="O102" s="49"/>
      <c r="P102" s="49"/>
      <c r="Q102" s="49"/>
      <c r="R102" s="49"/>
      <c r="S102" s="49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 t="s">
        <v>352</v>
      </c>
      <c r="AG102" s="50" t="s">
        <v>174</v>
      </c>
      <c r="AH102" s="50"/>
      <c r="AI102" s="50">
        <f>0+0</f>
        <v>0</v>
      </c>
    </row>
    <row r="103" spans="1:35" ht="102" x14ac:dyDescent="0.2">
      <c r="A103" s="44">
        <v>68</v>
      </c>
      <c r="B103" s="45" t="s">
        <v>343</v>
      </c>
      <c r="C103" s="46" t="str">
        <f t="shared" ca="1" si="2"/>
        <v xml:space="preserve">Снегозадержатели
100 м ограждения
1648 руб. НР 92%=120%*(0,85*0,9) от ФОТ (1791 руб.)
788 руб.СП 44%=65%*(0,8*0,85) от ФОТ (1791 руб.)
</v>
      </c>
      <c r="D103" s="44">
        <v>1.44</v>
      </c>
      <c r="E103" s="47" t="s">
        <v>344</v>
      </c>
      <c r="F103" s="47" t="s">
        <v>345</v>
      </c>
      <c r="G103" s="47">
        <v>3032.91</v>
      </c>
      <c r="H103" s="58" t="s">
        <v>73</v>
      </c>
      <c r="I103" s="48">
        <v>35463</v>
      </c>
      <c r="J103" s="47">
        <v>1656</v>
      </c>
      <c r="K103" s="47" t="s">
        <v>353</v>
      </c>
      <c r="L103" s="47" t="str">
        <f>IF(1.44*3032.91=0," ",TEXT(,ROUND((1.44*3032.91*7.51),2)))</f>
        <v>32799.1</v>
      </c>
      <c r="M103" s="47" t="s">
        <v>347</v>
      </c>
      <c r="N103" s="47" t="s">
        <v>354</v>
      </c>
      <c r="O103" s="49"/>
      <c r="P103" s="49"/>
      <c r="Q103" s="49"/>
      <c r="R103" s="49"/>
      <c r="S103" s="49"/>
      <c r="T103" s="50"/>
      <c r="U103" s="50"/>
      <c r="V103" s="50"/>
      <c r="W103" s="50"/>
      <c r="X103" s="50"/>
      <c r="Y103" s="50"/>
      <c r="Z103" s="50"/>
      <c r="AA103" s="50" t="s">
        <v>77</v>
      </c>
      <c r="AB103" s="50" t="s">
        <v>78</v>
      </c>
      <c r="AC103" s="50">
        <v>1648</v>
      </c>
      <c r="AD103" s="50">
        <v>788</v>
      </c>
      <c r="AE103" s="50"/>
      <c r="AF103" s="50" t="s">
        <v>355</v>
      </c>
      <c r="AG103" s="50" t="s">
        <v>81</v>
      </c>
      <c r="AH103" s="50"/>
      <c r="AI103" s="50">
        <f>1656+135</f>
        <v>1791</v>
      </c>
    </row>
    <row r="104" spans="1:35" ht="102" x14ac:dyDescent="0.2">
      <c r="A104" s="44">
        <v>69</v>
      </c>
      <c r="B104" s="45" t="s">
        <v>350</v>
      </c>
      <c r="C104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4" s="44">
        <v>-0.432</v>
      </c>
      <c r="E104" s="47">
        <v>10045</v>
      </c>
      <c r="F104" s="47"/>
      <c r="G104" s="47">
        <v>10045</v>
      </c>
      <c r="H104" s="58" t="s">
        <v>351</v>
      </c>
      <c r="I104" s="48">
        <v>-32690</v>
      </c>
      <c r="J104" s="47"/>
      <c r="K104" s="47"/>
      <c r="L104" s="47" t="str">
        <f>IF(-0.432*10045=0," ",TEXT(,ROUND((-0.432*10045*7.534),2)))</f>
        <v>-32693.34</v>
      </c>
      <c r="M104" s="47"/>
      <c r="N104" s="47"/>
      <c r="O104" s="49"/>
      <c r="P104" s="49"/>
      <c r="Q104" s="49"/>
      <c r="R104" s="49"/>
      <c r="S104" s="49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 t="s">
        <v>356</v>
      </c>
      <c r="AG104" s="50" t="s">
        <v>174</v>
      </c>
      <c r="AH104" s="50"/>
      <c r="AI104" s="50">
        <f>0+0</f>
        <v>0</v>
      </c>
    </row>
    <row r="105" spans="1:35" ht="63.75" x14ac:dyDescent="0.2">
      <c r="A105" s="44">
        <v>70</v>
      </c>
      <c r="B105" s="45" t="s">
        <v>357</v>
      </c>
      <c r="C105" s="46" t="str">
        <f t="shared" ca="1" si="2"/>
        <v xml:space="preserve">Снегозадержатель длиной 3000 мм 1800/1,18/3/5,56=91,45
м
</v>
      </c>
      <c r="D105" s="44">
        <v>144</v>
      </c>
      <c r="E105" s="47">
        <v>91.45</v>
      </c>
      <c r="F105" s="47"/>
      <c r="G105" s="47">
        <v>91.45</v>
      </c>
      <c r="H105" s="58" t="s">
        <v>154</v>
      </c>
      <c r="I105" s="48">
        <v>73220</v>
      </c>
      <c r="J105" s="47"/>
      <c r="K105" s="47"/>
      <c r="L105" s="47" t="str">
        <f>IF(144*91.45=0," ",TEXT(,ROUND((144*91.45*5.56),2)))</f>
        <v>73218.53</v>
      </c>
      <c r="M105" s="47"/>
      <c r="N105" s="47"/>
      <c r="O105" s="49"/>
      <c r="P105" s="49"/>
      <c r="Q105" s="49"/>
      <c r="R105" s="49"/>
      <c r="S105" s="49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 t="s">
        <v>358</v>
      </c>
      <c r="AG105" s="50" t="s">
        <v>359</v>
      </c>
      <c r="AH105" s="50"/>
      <c r="AI105" s="50">
        <f>0+0</f>
        <v>0</v>
      </c>
    </row>
    <row r="106" spans="1:35" ht="89.25" x14ac:dyDescent="0.2">
      <c r="A106" s="44">
        <v>71</v>
      </c>
      <c r="B106" s="45" t="s">
        <v>343</v>
      </c>
      <c r="C106" s="46" t="str">
        <f t="shared" ca="1" si="2"/>
        <v xml:space="preserve">Страховочный трос
100 м ограждения
653 руб. НР 92%=120%*(0,85*0,9) от ФОТ (710 руб.)
312 руб.СП 44%=65%*(0,8*0,85) от ФОТ (710 руб.)
</v>
      </c>
      <c r="D106" s="44">
        <v>0.57999999999999996</v>
      </c>
      <c r="E106" s="47" t="s">
        <v>344</v>
      </c>
      <c r="F106" s="47" t="s">
        <v>345</v>
      </c>
      <c r="G106" s="47">
        <v>3032.91</v>
      </c>
      <c r="H106" s="58" t="s">
        <v>73</v>
      </c>
      <c r="I106" s="48">
        <v>14273</v>
      </c>
      <c r="J106" s="47">
        <v>659</v>
      </c>
      <c r="K106" s="47" t="s">
        <v>360</v>
      </c>
      <c r="L106" s="47" t="str">
        <f>IF(0.58*3032.91=0," ",TEXT(,ROUND((0.58*3032.91*7.51),2)))</f>
        <v>13210.75</v>
      </c>
      <c r="M106" s="47" t="s">
        <v>347</v>
      </c>
      <c r="N106" s="47" t="s">
        <v>361</v>
      </c>
      <c r="O106" s="49"/>
      <c r="P106" s="49"/>
      <c r="Q106" s="49"/>
      <c r="R106" s="49"/>
      <c r="S106" s="49"/>
      <c r="T106" s="50"/>
      <c r="U106" s="50"/>
      <c r="V106" s="50"/>
      <c r="W106" s="50"/>
      <c r="X106" s="50"/>
      <c r="Y106" s="50"/>
      <c r="Z106" s="50"/>
      <c r="AA106" s="50" t="s">
        <v>77</v>
      </c>
      <c r="AB106" s="50" t="s">
        <v>78</v>
      </c>
      <c r="AC106" s="50">
        <v>653</v>
      </c>
      <c r="AD106" s="50">
        <v>312</v>
      </c>
      <c r="AE106" s="50"/>
      <c r="AF106" s="50" t="s">
        <v>362</v>
      </c>
      <c r="AG106" s="50" t="s">
        <v>81</v>
      </c>
      <c r="AH106" s="50"/>
      <c r="AI106" s="50">
        <f>659+51</f>
        <v>710</v>
      </c>
    </row>
    <row r="107" spans="1:35" ht="102" x14ac:dyDescent="0.2">
      <c r="A107" s="44">
        <v>72</v>
      </c>
      <c r="B107" s="45" t="s">
        <v>350</v>
      </c>
      <c r="C107" s="46" t="str">
        <f t="shared" ca="1" si="2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7" s="44">
        <v>-0.17399999999999999</v>
      </c>
      <c r="E107" s="47">
        <v>10045</v>
      </c>
      <c r="F107" s="47"/>
      <c r="G107" s="47">
        <v>10045</v>
      </c>
      <c r="H107" s="58" t="s">
        <v>351</v>
      </c>
      <c r="I107" s="48">
        <v>-13169</v>
      </c>
      <c r="J107" s="47"/>
      <c r="K107" s="47"/>
      <c r="L107" s="47" t="str">
        <f>IF(-0.174*10045=0," ",TEXT(,ROUND((-0.174*10045*7.534),2)))</f>
        <v>-13168.15</v>
      </c>
      <c r="M107" s="47"/>
      <c r="N107" s="47"/>
      <c r="O107" s="49"/>
      <c r="P107" s="49"/>
      <c r="Q107" s="49"/>
      <c r="R107" s="49"/>
      <c r="S107" s="49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 t="s">
        <v>363</v>
      </c>
      <c r="AG107" s="50" t="s">
        <v>174</v>
      </c>
      <c r="AH107" s="50"/>
      <c r="AI107" s="50">
        <f>0+0</f>
        <v>0</v>
      </c>
    </row>
    <row r="108" spans="1:35" ht="51" x14ac:dyDescent="0.2">
      <c r="A108" s="44">
        <v>73</v>
      </c>
      <c r="B108" s="45" t="s">
        <v>364</v>
      </c>
      <c r="C108" s="46" t="str">
        <f t="shared" ca="1" si="2"/>
        <v xml:space="preserve">Трос стальной
м
</v>
      </c>
      <c r="D108" s="44">
        <v>58</v>
      </c>
      <c r="E108" s="47">
        <v>12.03</v>
      </c>
      <c r="F108" s="47"/>
      <c r="G108" s="47">
        <v>12.03</v>
      </c>
      <c r="H108" s="58" t="s">
        <v>365</v>
      </c>
      <c r="I108" s="48">
        <v>4829</v>
      </c>
      <c r="J108" s="47"/>
      <c r="K108" s="47"/>
      <c r="L108" s="47" t="str">
        <f>IF(58*12.03=0," ",TEXT(,ROUND((58*12.03*6.919),2)))</f>
        <v>4827.66</v>
      </c>
      <c r="M108" s="47"/>
      <c r="N108" s="47"/>
      <c r="O108" s="49"/>
      <c r="P108" s="49"/>
      <c r="Q108" s="49"/>
      <c r="R108" s="49"/>
      <c r="S108" s="49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 t="s">
        <v>366</v>
      </c>
      <c r="AG108" s="50" t="s">
        <v>359</v>
      </c>
      <c r="AH108" s="50"/>
      <c r="AI108" s="50">
        <f>0+0</f>
        <v>0</v>
      </c>
    </row>
    <row r="109" spans="1:35" ht="76.5" x14ac:dyDescent="0.2">
      <c r="A109" s="44">
        <v>74</v>
      </c>
      <c r="B109" s="45" t="s">
        <v>367</v>
      </c>
      <c r="C109" s="46" t="str">
        <f t="shared" ca="1" si="2"/>
        <v xml:space="preserve">Анкерные детали из прямых или гнутых круглых стержней с резьбой (в комплекте с шайбами и гайками или без них): поставляемые отдельно
т
</v>
      </c>
      <c r="D109" s="44" t="s">
        <v>368</v>
      </c>
      <c r="E109" s="47">
        <v>10100</v>
      </c>
      <c r="F109" s="47"/>
      <c r="G109" s="47">
        <v>10100</v>
      </c>
      <c r="H109" s="58" t="s">
        <v>369</v>
      </c>
      <c r="I109" s="48">
        <v>89</v>
      </c>
      <c r="J109" s="47"/>
      <c r="K109" s="47"/>
      <c r="L109" s="47" t="str">
        <f>IF(0.0018*10100=0," ",TEXT(,ROUND((0.0018*10100*4.94),2)))</f>
        <v>89.81</v>
      </c>
      <c r="M109" s="47"/>
      <c r="N109" s="47"/>
      <c r="O109" s="49"/>
      <c r="P109" s="49"/>
      <c r="Q109" s="49"/>
      <c r="R109" s="49"/>
      <c r="S109" s="49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 t="s">
        <v>370</v>
      </c>
      <c r="AG109" s="50" t="s">
        <v>174</v>
      </c>
      <c r="AH109" s="50"/>
      <c r="AI109" s="50">
        <f>0+0</f>
        <v>0</v>
      </c>
    </row>
    <row r="110" spans="1:35" ht="89.25" x14ac:dyDescent="0.2">
      <c r="A110" s="44">
        <v>75</v>
      </c>
      <c r="B110" s="45" t="s">
        <v>343</v>
      </c>
      <c r="C110" s="46" t="str">
        <f t="shared" ca="1" si="2"/>
        <v xml:space="preserve">Устройство переходных лестниц  на кровле
100 м ограждения
234 руб. НР 92%=120%*(0,85*0,9) от ФОТ (254 руб.)
112 руб.СП 44%=65%*(0,8*0,85) от ФОТ (254 руб.)
</v>
      </c>
      <c r="D110" s="44">
        <v>0.2</v>
      </c>
      <c r="E110" s="47" t="s">
        <v>344</v>
      </c>
      <c r="F110" s="47" t="s">
        <v>345</v>
      </c>
      <c r="G110" s="47">
        <v>3032.91</v>
      </c>
      <c r="H110" s="58" t="s">
        <v>73</v>
      </c>
      <c r="I110" s="48">
        <v>4936</v>
      </c>
      <c r="J110" s="47">
        <v>237</v>
      </c>
      <c r="K110" s="47" t="s">
        <v>371</v>
      </c>
      <c r="L110" s="47" t="str">
        <f>IF(0.2*3032.91=0," ",TEXT(,ROUND((0.2*3032.91*7.51),2)))</f>
        <v>4555.43</v>
      </c>
      <c r="M110" s="47" t="s">
        <v>347</v>
      </c>
      <c r="N110" s="47" t="s">
        <v>372</v>
      </c>
      <c r="O110" s="49"/>
      <c r="P110" s="49"/>
      <c r="Q110" s="49"/>
      <c r="R110" s="49"/>
      <c r="S110" s="49"/>
      <c r="T110" s="50"/>
      <c r="U110" s="50"/>
      <c r="V110" s="50"/>
      <c r="W110" s="50"/>
      <c r="X110" s="50"/>
      <c r="Y110" s="50"/>
      <c r="Z110" s="50"/>
      <c r="AA110" s="50" t="s">
        <v>77</v>
      </c>
      <c r="AB110" s="50" t="s">
        <v>78</v>
      </c>
      <c r="AC110" s="50">
        <v>234</v>
      </c>
      <c r="AD110" s="50">
        <v>112</v>
      </c>
      <c r="AE110" s="50"/>
      <c r="AF110" s="50" t="s">
        <v>373</v>
      </c>
      <c r="AG110" s="50" t="s">
        <v>81</v>
      </c>
      <c r="AH110" s="50"/>
      <c r="AI110" s="50">
        <f>237+17</f>
        <v>254</v>
      </c>
    </row>
    <row r="111" spans="1:35" ht="102" x14ac:dyDescent="0.2">
      <c r="A111" s="44">
        <v>76</v>
      </c>
      <c r="B111" s="45" t="s">
        <v>350</v>
      </c>
      <c r="C111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1" s="44">
        <v>-0.06</v>
      </c>
      <c r="E111" s="47">
        <v>10045</v>
      </c>
      <c r="F111" s="47"/>
      <c r="G111" s="47">
        <v>10045</v>
      </c>
      <c r="H111" s="58" t="s">
        <v>351</v>
      </c>
      <c r="I111" s="48">
        <v>-4543</v>
      </c>
      <c r="J111" s="47"/>
      <c r="K111" s="47"/>
      <c r="L111" s="47" t="str">
        <f>IF(-0.06*10045=0," ",TEXT(,ROUND((-0.06*10045*7.534),2)))</f>
        <v>-4540.74</v>
      </c>
      <c r="M111" s="47"/>
      <c r="N111" s="47"/>
      <c r="O111" s="49"/>
      <c r="P111" s="49"/>
      <c r="Q111" s="49"/>
      <c r="R111" s="49"/>
      <c r="S111" s="49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 t="s">
        <v>356</v>
      </c>
      <c r="AG111" s="50" t="s">
        <v>174</v>
      </c>
      <c r="AH111" s="50"/>
      <c r="AI111" s="50">
        <f>0+0</f>
        <v>0</v>
      </c>
    </row>
    <row r="112" spans="1:35" ht="63.75" x14ac:dyDescent="0.2">
      <c r="A112" s="44">
        <v>77</v>
      </c>
      <c r="B112" s="45" t="s">
        <v>374</v>
      </c>
      <c r="C112" s="46" t="str">
        <f t="shared" ca="1" si="2"/>
        <v xml:space="preserve">Лестница кровельная длиной 5 м (1800+2700)/1,18/5/5,56=137.18
м
</v>
      </c>
      <c r="D112" s="44">
        <v>20</v>
      </c>
      <c r="E112" s="47">
        <v>137.18</v>
      </c>
      <c r="F112" s="47"/>
      <c r="G112" s="47">
        <v>137.18</v>
      </c>
      <c r="H112" s="58" t="s">
        <v>154</v>
      </c>
      <c r="I112" s="48">
        <v>15257</v>
      </c>
      <c r="J112" s="47"/>
      <c r="K112" s="47"/>
      <c r="L112" s="47" t="str">
        <f>IF(20*137.18=0," ",TEXT(,ROUND((20*137.18*5.56),2)))</f>
        <v>15254.42</v>
      </c>
      <c r="M112" s="47"/>
      <c r="N112" s="47"/>
      <c r="O112" s="49"/>
      <c r="P112" s="49"/>
      <c r="Q112" s="49"/>
      <c r="R112" s="49"/>
      <c r="S112" s="49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 t="s">
        <v>375</v>
      </c>
      <c r="AG112" s="50" t="s">
        <v>359</v>
      </c>
      <c r="AH112" s="50"/>
      <c r="AI112" s="50">
        <f>0+0</f>
        <v>0</v>
      </c>
    </row>
    <row r="113" spans="1:35" ht="76.5" x14ac:dyDescent="0.2">
      <c r="A113" s="44">
        <v>78</v>
      </c>
      <c r="B113" s="45" t="s">
        <v>343</v>
      </c>
      <c r="C113" s="46" t="str">
        <f t="shared" ca="1" si="2"/>
        <v xml:space="preserve">Устройство переходных мостиков  на кровле
100 м ограждения
47 руб. НР 92%=120%*(0,85*0,9) от ФОТ (51 руб.)
22 руб.СП 44%=65%*(0,8*0,85) от ФОТ (51 руб.)
</v>
      </c>
      <c r="D113" s="44" t="s">
        <v>376</v>
      </c>
      <c r="E113" s="47" t="s">
        <v>344</v>
      </c>
      <c r="F113" s="47" t="s">
        <v>345</v>
      </c>
      <c r="G113" s="47">
        <v>3032.91</v>
      </c>
      <c r="H113" s="58" t="s">
        <v>73</v>
      </c>
      <c r="I113" s="48">
        <v>1232</v>
      </c>
      <c r="J113" s="47">
        <v>51</v>
      </c>
      <c r="K113" s="47">
        <v>40</v>
      </c>
      <c r="L113" s="47" t="str">
        <f>IF(0.05*3032.91=0," ",TEXT(,ROUND((0.05*3032.91*7.51),2)))</f>
        <v>1138.86</v>
      </c>
      <c r="M113" s="47" t="s">
        <v>347</v>
      </c>
      <c r="N113" s="47" t="s">
        <v>377</v>
      </c>
      <c r="O113" s="49"/>
      <c r="P113" s="49"/>
      <c r="Q113" s="49"/>
      <c r="R113" s="49"/>
      <c r="S113" s="49"/>
      <c r="T113" s="50"/>
      <c r="U113" s="50"/>
      <c r="V113" s="50"/>
      <c r="W113" s="50"/>
      <c r="X113" s="50"/>
      <c r="Y113" s="50"/>
      <c r="Z113" s="50"/>
      <c r="AA113" s="50" t="s">
        <v>77</v>
      </c>
      <c r="AB113" s="50" t="s">
        <v>78</v>
      </c>
      <c r="AC113" s="50">
        <v>47</v>
      </c>
      <c r="AD113" s="50">
        <v>22</v>
      </c>
      <c r="AE113" s="50"/>
      <c r="AF113" s="50" t="s">
        <v>378</v>
      </c>
      <c r="AG113" s="50" t="s">
        <v>81</v>
      </c>
      <c r="AH113" s="50"/>
      <c r="AI113" s="50">
        <f>51+0</f>
        <v>51</v>
      </c>
    </row>
    <row r="114" spans="1:35" ht="102" x14ac:dyDescent="0.2">
      <c r="A114" s="44">
        <v>79</v>
      </c>
      <c r="B114" s="45" t="s">
        <v>350</v>
      </c>
      <c r="C114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4" s="44">
        <v>-1.4999999999999999E-2</v>
      </c>
      <c r="E114" s="47">
        <v>10045</v>
      </c>
      <c r="F114" s="47"/>
      <c r="G114" s="47">
        <v>10045</v>
      </c>
      <c r="H114" s="58" t="s">
        <v>351</v>
      </c>
      <c r="I114" s="48">
        <v>-1138</v>
      </c>
      <c r="J114" s="47"/>
      <c r="K114" s="47"/>
      <c r="L114" s="47" t="str">
        <f>IF(-0.015*10045=0," ",TEXT(,ROUND((-0.015*10045*7.534),2)))</f>
        <v>-1135.19</v>
      </c>
      <c r="M114" s="47"/>
      <c r="N114" s="47"/>
      <c r="O114" s="49"/>
      <c r="P114" s="49"/>
      <c r="Q114" s="49"/>
      <c r="R114" s="49"/>
      <c r="S114" s="49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 t="s">
        <v>356</v>
      </c>
      <c r="AG114" s="50" t="s">
        <v>174</v>
      </c>
      <c r="AH114" s="50"/>
      <c r="AI114" s="50">
        <f>0+0</f>
        <v>0</v>
      </c>
    </row>
    <row r="115" spans="1:35" ht="51" x14ac:dyDescent="0.2">
      <c r="A115" s="44">
        <v>80</v>
      </c>
      <c r="B115" s="45" t="s">
        <v>379</v>
      </c>
      <c r="C115" s="46" t="str">
        <f t="shared" ca="1" si="2"/>
        <v xml:space="preserve">Переходный мостик 1250 мм 2250/1,18/5,56=342,95
шт
</v>
      </c>
      <c r="D115" s="44">
        <v>4</v>
      </c>
      <c r="E115" s="47">
        <v>342.95</v>
      </c>
      <c r="F115" s="47"/>
      <c r="G115" s="47">
        <v>342.95</v>
      </c>
      <c r="H115" s="58" t="s">
        <v>154</v>
      </c>
      <c r="I115" s="48">
        <v>7628</v>
      </c>
      <c r="J115" s="47"/>
      <c r="K115" s="47"/>
      <c r="L115" s="47" t="str">
        <f>IF(4*342.95=0," ",TEXT(,ROUND((4*342.95*5.56),2)))</f>
        <v>7627.21</v>
      </c>
      <c r="M115" s="47"/>
      <c r="N115" s="47"/>
      <c r="O115" s="49"/>
      <c r="P115" s="49"/>
      <c r="Q115" s="49"/>
      <c r="R115" s="49"/>
      <c r="S115" s="49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 t="s">
        <v>380</v>
      </c>
      <c r="AG115" s="50" t="s">
        <v>381</v>
      </c>
      <c r="AH115" s="50"/>
      <c r="AI115" s="50">
        <f>0+0</f>
        <v>0</v>
      </c>
    </row>
    <row r="116" spans="1:35" ht="89.25" x14ac:dyDescent="0.2">
      <c r="A116" s="44">
        <v>81</v>
      </c>
      <c r="B116" s="45" t="s">
        <v>382</v>
      </c>
      <c r="C116" s="46" t="str">
        <f t="shared" ca="1" si="2"/>
        <v xml:space="preserve">Перенавеска водосточных труб: с земли, лестниц или подмостей
100 м труб
7260 руб. НР 71%=83%*0,85 от ФОТ (10225 руб.)
5317 руб.СП 52%=65%*0,8 от ФОТ (10225 руб.)
</v>
      </c>
      <c r="D116" s="44">
        <v>1.1599999999999999</v>
      </c>
      <c r="E116" s="47" t="s">
        <v>383</v>
      </c>
      <c r="F116" s="47"/>
      <c r="G116" s="47">
        <v>8.02</v>
      </c>
      <c r="H116" s="58" t="s">
        <v>384</v>
      </c>
      <c r="I116" s="48">
        <v>10256</v>
      </c>
      <c r="J116" s="47">
        <v>10225</v>
      </c>
      <c r="K116" s="47"/>
      <c r="L116" s="47" t="str">
        <f>IF(1.16*8.02=0," ",TEXT(,ROUND((1.16*8.02*3.39),2)))</f>
        <v>31.54</v>
      </c>
      <c r="M116" s="47">
        <v>60.4</v>
      </c>
      <c r="N116" s="47">
        <v>70.06</v>
      </c>
      <c r="O116" s="49"/>
      <c r="P116" s="49"/>
      <c r="Q116" s="49"/>
      <c r="R116" s="49"/>
      <c r="S116" s="49"/>
      <c r="T116" s="50"/>
      <c r="U116" s="50"/>
      <c r="V116" s="50"/>
      <c r="W116" s="50"/>
      <c r="X116" s="50"/>
      <c r="Y116" s="50"/>
      <c r="Z116" s="50"/>
      <c r="AA116" s="50" t="s">
        <v>38</v>
      </c>
      <c r="AB116" s="50" t="s">
        <v>39</v>
      </c>
      <c r="AC116" s="50">
        <v>7260</v>
      </c>
      <c r="AD116" s="50">
        <v>5317</v>
      </c>
      <c r="AE116" s="50"/>
      <c r="AF116" s="50" t="s">
        <v>385</v>
      </c>
      <c r="AG116" s="50" t="s">
        <v>386</v>
      </c>
      <c r="AH116" s="50"/>
      <c r="AI116" s="50">
        <f>10225+0</f>
        <v>10225</v>
      </c>
    </row>
    <row r="117" spans="1:35" ht="76.5" x14ac:dyDescent="0.2">
      <c r="A117" s="44">
        <v>82</v>
      </c>
      <c r="B117" s="45" t="s">
        <v>387</v>
      </c>
      <c r="C117" s="46" t="str">
        <f t="shared" ca="1" si="2"/>
        <v xml:space="preserve">Звенья водосточных труб из оцинкованной стали толщиной 0,55 мм, диаметром 140 мм, марка ТВ-140
м
</v>
      </c>
      <c r="D117" s="44">
        <v>116</v>
      </c>
      <c r="E117" s="47">
        <v>56.5</v>
      </c>
      <c r="F117" s="47"/>
      <c r="G117" s="47">
        <v>56.5</v>
      </c>
      <c r="H117" s="58" t="s">
        <v>388</v>
      </c>
      <c r="I117" s="48">
        <v>17388</v>
      </c>
      <c r="J117" s="47"/>
      <c r="K117" s="47"/>
      <c r="L117" s="47" t="str">
        <f>IF(116*56.5=0," ",TEXT(,ROUND((116*56.5*2.653),2)))</f>
        <v>17387.76</v>
      </c>
      <c r="M117" s="47"/>
      <c r="N117" s="47"/>
      <c r="O117" s="49"/>
      <c r="P117" s="49"/>
      <c r="Q117" s="49"/>
      <c r="R117" s="49"/>
      <c r="S117" s="49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 t="s">
        <v>389</v>
      </c>
      <c r="AG117" s="50" t="s">
        <v>359</v>
      </c>
      <c r="AH117" s="50"/>
      <c r="AI117" s="50">
        <f>0+0</f>
        <v>0</v>
      </c>
    </row>
    <row r="118" spans="1:35" ht="63.75" x14ac:dyDescent="0.2">
      <c r="A118" s="44">
        <v>83</v>
      </c>
      <c r="B118" s="45" t="s">
        <v>390</v>
      </c>
      <c r="C118" s="46" t="str">
        <f t="shared" ca="1" si="2"/>
        <v xml:space="preserve">Воронка водосточная из оцинкованной стали толщиной 0,55 диаметром 215 мм
шт.
</v>
      </c>
      <c r="D118" s="44">
        <v>8</v>
      </c>
      <c r="E118" s="47">
        <v>67.8</v>
      </c>
      <c r="F118" s="47"/>
      <c r="G118" s="47">
        <v>67.8</v>
      </c>
      <c r="H118" s="58" t="s">
        <v>391</v>
      </c>
      <c r="I118" s="48">
        <v>1625</v>
      </c>
      <c r="J118" s="47"/>
      <c r="K118" s="47"/>
      <c r="L118" s="47" t="str">
        <f>IF(8*67.8=0," ",TEXT(,ROUND((8*67.8*2.999),2)))</f>
        <v>1626.66</v>
      </c>
      <c r="M118" s="47"/>
      <c r="N118" s="47"/>
      <c r="O118" s="49"/>
      <c r="P118" s="49"/>
      <c r="Q118" s="49"/>
      <c r="R118" s="49"/>
      <c r="S118" s="49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 t="s">
        <v>392</v>
      </c>
      <c r="AG118" s="50" t="s">
        <v>234</v>
      </c>
      <c r="AH118" s="50"/>
      <c r="AI118" s="50">
        <f>0+0</f>
        <v>0</v>
      </c>
    </row>
    <row r="119" spans="1:35" ht="63.75" x14ac:dyDescent="0.2">
      <c r="A119" s="44">
        <v>84</v>
      </c>
      <c r="B119" s="45" t="s">
        <v>393</v>
      </c>
      <c r="C119" s="46" t="str">
        <f t="shared" ca="1" si="2"/>
        <v xml:space="preserve">Колено из оцинкованной стали толщиной 0,55 мм, диаметром 140 мм, марка ТВ-140
шт.
</v>
      </c>
      <c r="D119" s="44">
        <v>16</v>
      </c>
      <c r="E119" s="47">
        <v>34.799999999999997</v>
      </c>
      <c r="F119" s="47"/>
      <c r="G119" s="47">
        <v>34.799999999999997</v>
      </c>
      <c r="H119" s="58" t="s">
        <v>394</v>
      </c>
      <c r="I119" s="48">
        <v>2236</v>
      </c>
      <c r="J119" s="47"/>
      <c r="K119" s="47"/>
      <c r="L119" s="47" t="str">
        <f>IF(16*34.8=0," ",TEXT(,ROUND((16*34.8*4.014),2)))</f>
        <v>2235</v>
      </c>
      <c r="M119" s="47"/>
      <c r="N119" s="47"/>
      <c r="O119" s="49"/>
      <c r="P119" s="49"/>
      <c r="Q119" s="49"/>
      <c r="R119" s="49"/>
      <c r="S119" s="49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 t="s">
        <v>395</v>
      </c>
      <c r="AG119" s="50" t="s">
        <v>234</v>
      </c>
      <c r="AH119" s="50"/>
      <c r="AI119" s="50">
        <f>0+0</f>
        <v>0</v>
      </c>
    </row>
    <row r="120" spans="1:35" ht="63.75" x14ac:dyDescent="0.2">
      <c r="A120" s="44">
        <v>85</v>
      </c>
      <c r="B120" s="45" t="s">
        <v>396</v>
      </c>
      <c r="C120" s="46" t="str">
        <f t="shared" ca="1" si="2"/>
        <v xml:space="preserve">Отливы (отметы) из оцинкованной стали толщиной 0,55 мм диаметром 140 мм
шт.
</v>
      </c>
      <c r="D120" s="44">
        <v>8</v>
      </c>
      <c r="E120" s="47">
        <v>35.9</v>
      </c>
      <c r="F120" s="47"/>
      <c r="G120" s="47">
        <v>35.9</v>
      </c>
      <c r="H120" s="58" t="s">
        <v>397</v>
      </c>
      <c r="I120" s="48">
        <v>1120</v>
      </c>
      <c r="J120" s="47"/>
      <c r="K120" s="47"/>
      <c r="L120" s="47" t="str">
        <f>IF(8*35.9=0," ",TEXT(,ROUND((8*35.9*3.901),2)))</f>
        <v>1120.37</v>
      </c>
      <c r="M120" s="47"/>
      <c r="N120" s="47"/>
      <c r="O120" s="49"/>
      <c r="P120" s="49"/>
      <c r="Q120" s="49"/>
      <c r="R120" s="49"/>
      <c r="S120" s="49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 t="s">
        <v>398</v>
      </c>
      <c r="AG120" s="50" t="s">
        <v>234</v>
      </c>
      <c r="AH120" s="50"/>
      <c r="AI120" s="50">
        <f>0+0</f>
        <v>0</v>
      </c>
    </row>
    <row r="121" spans="1:35" ht="63.75" x14ac:dyDescent="0.2">
      <c r="A121" s="44">
        <v>86</v>
      </c>
      <c r="B121" s="45" t="s">
        <v>399</v>
      </c>
      <c r="C121" s="46" t="str">
        <f t="shared" ca="1" si="2"/>
        <v xml:space="preserve">Поковки из квадратных заготовок, масса 1,8 кг хомуты
т
</v>
      </c>
      <c r="D121" s="44" t="s">
        <v>400</v>
      </c>
      <c r="E121" s="47">
        <v>5989</v>
      </c>
      <c r="F121" s="47"/>
      <c r="G121" s="47">
        <v>5989</v>
      </c>
      <c r="H121" s="58" t="s">
        <v>401</v>
      </c>
      <c r="I121" s="48">
        <v>4786</v>
      </c>
      <c r="J121" s="47"/>
      <c r="K121" s="47"/>
      <c r="L121" s="47" t="str">
        <f>IF(0.1872*5989=0," ",TEXT(,ROUND((0.1872*5989*4.269),2)))</f>
        <v>4786.15</v>
      </c>
      <c r="M121" s="47"/>
      <c r="N121" s="47"/>
      <c r="O121" s="49"/>
      <c r="P121" s="49"/>
      <c r="Q121" s="49"/>
      <c r="R121" s="49"/>
      <c r="S121" s="49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 t="s">
        <v>402</v>
      </c>
      <c r="AG121" s="50" t="s">
        <v>174</v>
      </c>
      <c r="AH121" s="50"/>
      <c r="AI121" s="50">
        <f>0+0</f>
        <v>0</v>
      </c>
    </row>
    <row r="122" spans="1:35" ht="127.5" x14ac:dyDescent="0.2">
      <c r="A122" s="52">
        <v>87</v>
      </c>
      <c r="B122" s="53" t="s">
        <v>403</v>
      </c>
      <c r="C122" s="54" t="str">
        <f t="shared" ca="1" si="2"/>
        <v xml:space="preserve">Окраска металлических огрунтованных поверхностей: эмалью ПФ-115
100 м2 окрашиваемой поверхности
(За 2 раза ПЗ=2 (ОЗП=2; ЭМ=2 к расх.; ЗПМ=2; МАТ=2 к расх.; ТЗ=2; ТЗМ=2))
431 руб. НР 69%=90%*(0,85*0,9) от ФОТ (625 руб.)
300 руб.СП 48%=70%*(0,8*0,85) от ФОТ (625 руб.)
</v>
      </c>
      <c r="D122" s="52">
        <v>0.46079999999999999</v>
      </c>
      <c r="E122" s="55" t="s">
        <v>404</v>
      </c>
      <c r="F122" s="55" t="s">
        <v>405</v>
      </c>
      <c r="G122" s="55">
        <v>562.55999999999995</v>
      </c>
      <c r="H122" s="56" t="s">
        <v>406</v>
      </c>
      <c r="I122" s="57">
        <v>1990</v>
      </c>
      <c r="J122" s="55">
        <v>625</v>
      </c>
      <c r="K122" s="55">
        <v>86</v>
      </c>
      <c r="L122" s="55" t="str">
        <f>IF(0.4608*562.56=0," ",TEXT(,ROUND((0.4608*562.56*4.94),2)))</f>
        <v>1280.58</v>
      </c>
      <c r="M122" s="55" t="s">
        <v>407</v>
      </c>
      <c r="N122" s="55" t="s">
        <v>408</v>
      </c>
      <c r="O122" s="49"/>
      <c r="P122" s="49"/>
      <c r="Q122" s="49"/>
      <c r="R122" s="49"/>
      <c r="S122" s="49"/>
      <c r="T122" s="50"/>
      <c r="U122" s="50"/>
      <c r="V122" s="50"/>
      <c r="W122" s="50"/>
      <c r="X122" s="50"/>
      <c r="Y122" s="50"/>
      <c r="Z122" s="50"/>
      <c r="AA122" s="50" t="s">
        <v>228</v>
      </c>
      <c r="AB122" s="50" t="s">
        <v>31</v>
      </c>
      <c r="AC122" s="50">
        <v>431</v>
      </c>
      <c r="AD122" s="50">
        <v>300</v>
      </c>
      <c r="AE122" s="50" t="s">
        <v>409</v>
      </c>
      <c r="AF122" s="50" t="s">
        <v>410</v>
      </c>
      <c r="AG122" s="50" t="s">
        <v>411</v>
      </c>
      <c r="AH122" s="50"/>
      <c r="AI122" s="50">
        <f>625+0</f>
        <v>625</v>
      </c>
    </row>
    <row r="123" spans="1:35" ht="25.5" x14ac:dyDescent="0.2">
      <c r="A123" s="72" t="s">
        <v>125</v>
      </c>
      <c r="B123" s="65"/>
      <c r="C123" s="65"/>
      <c r="D123" s="65"/>
      <c r="E123" s="65"/>
      <c r="F123" s="65"/>
      <c r="G123" s="65"/>
      <c r="H123" s="65"/>
      <c r="I123" s="48">
        <v>372620</v>
      </c>
      <c r="J123" s="47">
        <v>20165</v>
      </c>
      <c r="K123" s="47" t="s">
        <v>412</v>
      </c>
      <c r="L123" s="47">
        <v>346534</v>
      </c>
      <c r="M123" s="47"/>
      <c r="N123" s="47" t="s">
        <v>413</v>
      </c>
      <c r="O123" s="17"/>
      <c r="P123" s="18"/>
      <c r="Q123" s="17"/>
      <c r="R123" s="17"/>
      <c r="S123" s="17"/>
    </row>
    <row r="124" spans="1:35" ht="25.5" x14ac:dyDescent="0.2">
      <c r="A124" s="72" t="s">
        <v>237</v>
      </c>
      <c r="B124" s="65"/>
      <c r="C124" s="65"/>
      <c r="D124" s="65"/>
      <c r="E124" s="65"/>
      <c r="F124" s="65"/>
      <c r="G124" s="65"/>
      <c r="H124" s="65"/>
      <c r="I124" s="48">
        <v>376609</v>
      </c>
      <c r="J124" s="47">
        <v>22760</v>
      </c>
      <c r="K124" s="47" t="s">
        <v>414</v>
      </c>
      <c r="L124" s="47">
        <v>346534</v>
      </c>
      <c r="M124" s="47"/>
      <c r="N124" s="47" t="s">
        <v>415</v>
      </c>
      <c r="O124" s="17"/>
      <c r="P124" s="18"/>
      <c r="Q124" s="17"/>
      <c r="R124" s="17"/>
      <c r="S124" s="17"/>
    </row>
    <row r="125" spans="1:35" x14ac:dyDescent="0.2">
      <c r="A125" s="72" t="s">
        <v>240</v>
      </c>
      <c r="B125" s="65"/>
      <c r="C125" s="65"/>
      <c r="D125" s="65"/>
      <c r="E125" s="65"/>
      <c r="F125" s="65"/>
      <c r="G125" s="65"/>
      <c r="H125" s="65"/>
      <c r="I125" s="48"/>
      <c r="J125" s="47"/>
      <c r="K125" s="47"/>
      <c r="L125" s="47"/>
      <c r="M125" s="47"/>
      <c r="N125" s="47"/>
      <c r="O125" s="17"/>
      <c r="P125" s="18"/>
      <c r="Q125" s="17"/>
      <c r="R125" s="17"/>
      <c r="S125" s="17"/>
    </row>
    <row r="126" spans="1:35" ht="27.95" customHeight="1" x14ac:dyDescent="0.2">
      <c r="A126" s="72" t="s">
        <v>416</v>
      </c>
      <c r="B126" s="65"/>
      <c r="C126" s="65"/>
      <c r="D126" s="65"/>
      <c r="E126" s="65"/>
      <c r="F126" s="65"/>
      <c r="G126" s="65"/>
      <c r="H126" s="65"/>
      <c r="I126" s="48">
        <v>3989</v>
      </c>
      <c r="J126" s="47">
        <v>2595</v>
      </c>
      <c r="K126" s="47" t="s">
        <v>417</v>
      </c>
      <c r="L126" s="47"/>
      <c r="M126" s="47"/>
      <c r="N126" s="47" t="s">
        <v>418</v>
      </c>
      <c r="O126" s="17"/>
      <c r="P126" s="18"/>
      <c r="Q126" s="17"/>
      <c r="R126" s="17"/>
      <c r="S126" s="17"/>
    </row>
    <row r="127" spans="1:35" ht="25.5" x14ac:dyDescent="0.2">
      <c r="A127" s="72" t="s">
        <v>128</v>
      </c>
      <c r="B127" s="65"/>
      <c r="C127" s="65"/>
      <c r="D127" s="65"/>
      <c r="E127" s="65"/>
      <c r="F127" s="65"/>
      <c r="G127" s="65"/>
      <c r="H127" s="65"/>
      <c r="I127" s="48">
        <v>1975068</v>
      </c>
      <c r="J127" s="47">
        <v>384645</v>
      </c>
      <c r="K127" s="47" t="s">
        <v>419</v>
      </c>
      <c r="L127" s="47">
        <v>1508825</v>
      </c>
      <c r="M127" s="47"/>
      <c r="N127" s="47" t="s">
        <v>415</v>
      </c>
      <c r="O127" s="17"/>
      <c r="P127" s="18"/>
      <c r="Q127" s="17"/>
      <c r="R127" s="17"/>
      <c r="S127" s="17"/>
    </row>
    <row r="128" spans="1:35" x14ac:dyDescent="0.2">
      <c r="A128" s="72" t="s">
        <v>130</v>
      </c>
      <c r="B128" s="65"/>
      <c r="C128" s="65"/>
      <c r="D128" s="65"/>
      <c r="E128" s="65"/>
      <c r="F128" s="65"/>
      <c r="G128" s="65"/>
      <c r="H128" s="65"/>
      <c r="I128" s="48">
        <v>345008</v>
      </c>
      <c r="J128" s="47"/>
      <c r="K128" s="47"/>
      <c r="L128" s="47"/>
      <c r="M128" s="47"/>
      <c r="N128" s="47"/>
      <c r="O128" s="17"/>
      <c r="P128" s="18"/>
      <c r="Q128" s="17"/>
      <c r="R128" s="17"/>
      <c r="S128" s="17"/>
    </row>
    <row r="129" spans="1:35" x14ac:dyDescent="0.2">
      <c r="A129" s="72" t="s">
        <v>131</v>
      </c>
      <c r="B129" s="65"/>
      <c r="C129" s="65"/>
      <c r="D129" s="65"/>
      <c r="E129" s="65"/>
      <c r="F129" s="65"/>
      <c r="G129" s="65"/>
      <c r="H129" s="65"/>
      <c r="I129" s="48">
        <v>174946</v>
      </c>
      <c r="J129" s="47"/>
      <c r="K129" s="47"/>
      <c r="L129" s="47"/>
      <c r="M129" s="47"/>
      <c r="N129" s="47"/>
      <c r="O129" s="17"/>
      <c r="P129" s="18"/>
      <c r="Q129" s="17"/>
      <c r="R129" s="17"/>
      <c r="S129" s="17"/>
    </row>
    <row r="130" spans="1:35" ht="25.5" x14ac:dyDescent="0.2">
      <c r="A130" s="68" t="s">
        <v>420</v>
      </c>
      <c r="B130" s="69"/>
      <c r="C130" s="69"/>
      <c r="D130" s="69"/>
      <c r="E130" s="69"/>
      <c r="F130" s="69"/>
      <c r="G130" s="69"/>
      <c r="H130" s="69"/>
      <c r="I130" s="59">
        <v>2495022</v>
      </c>
      <c r="J130" s="60"/>
      <c r="K130" s="60"/>
      <c r="L130" s="60"/>
      <c r="M130" s="60"/>
      <c r="N130" s="60" t="s">
        <v>415</v>
      </c>
      <c r="O130" s="17"/>
      <c r="P130" s="18"/>
      <c r="Q130" s="17"/>
      <c r="R130" s="17"/>
      <c r="S130" s="17"/>
    </row>
    <row r="131" spans="1:35" ht="21" customHeight="1" x14ac:dyDescent="0.2">
      <c r="A131" s="70" t="s">
        <v>421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</row>
    <row r="132" spans="1:35" ht="102" x14ac:dyDescent="0.2">
      <c r="A132" s="44">
        <v>88</v>
      </c>
      <c r="B132" s="45" t="s">
        <v>422</v>
      </c>
      <c r="C132" s="46" t="str">
        <f t="shared" ref="C132:C146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4480 руб. НР 93%=122%*(0,85*0,9) от ФОТ (4817 руб.)
2601 руб.СП 54%=80%*(0,8*0,85) от ФОТ (4817 руб.)
</v>
      </c>
      <c r="D132" s="44">
        <v>3.86</v>
      </c>
      <c r="E132" s="47" t="s">
        <v>423</v>
      </c>
      <c r="F132" s="47" t="s">
        <v>424</v>
      </c>
      <c r="G132" s="47">
        <v>823.32</v>
      </c>
      <c r="H132" s="58" t="s">
        <v>425</v>
      </c>
      <c r="I132" s="48">
        <v>21166</v>
      </c>
      <c r="J132" s="47">
        <v>4411</v>
      </c>
      <c r="K132" s="47" t="s">
        <v>426</v>
      </c>
      <c r="L132" s="47" t="str">
        <f>IF(3.86*823.32=0," ",TEXT(,ROUND((3.86*823.32*4.7),2)))</f>
        <v>14936.67</v>
      </c>
      <c r="M132" s="47" t="s">
        <v>427</v>
      </c>
      <c r="N132" s="47" t="s">
        <v>428</v>
      </c>
      <c r="O132" s="49"/>
      <c r="P132" s="49"/>
      <c r="Q132" s="49"/>
      <c r="R132" s="49"/>
      <c r="S132" s="49"/>
      <c r="T132" s="50"/>
      <c r="U132" s="50"/>
      <c r="V132" s="50"/>
      <c r="W132" s="50"/>
      <c r="X132" s="50"/>
      <c r="Y132" s="50"/>
      <c r="Z132" s="50"/>
      <c r="AA132" s="50" t="s">
        <v>141</v>
      </c>
      <c r="AB132" s="50" t="s">
        <v>142</v>
      </c>
      <c r="AC132" s="50">
        <v>4480</v>
      </c>
      <c r="AD132" s="50">
        <v>2601</v>
      </c>
      <c r="AE132" s="50"/>
      <c r="AF132" s="50" t="s">
        <v>429</v>
      </c>
      <c r="AG132" s="50" t="s">
        <v>144</v>
      </c>
      <c r="AH132" s="50"/>
      <c r="AI132" s="50">
        <f>4411+406</f>
        <v>4817</v>
      </c>
    </row>
    <row r="133" spans="1:35" ht="102" x14ac:dyDescent="0.2">
      <c r="A133" s="44">
        <v>89</v>
      </c>
      <c r="B133" s="45" t="s">
        <v>430</v>
      </c>
      <c r="C133" s="46" t="str">
        <f t="shared" ca="1" si="3"/>
        <v xml:space="preserve">Установка элементов каркаса: из брусьев
1 м3 древесины в конструкции
2145 руб. НР 90%=118%*(0,85*0,9) от ФОТ (2383 руб.)
1025 руб.СП 43%=63%*(0,8*0,85) от ФОТ (2383 руб.)
</v>
      </c>
      <c r="D133" s="44">
        <v>0.65</v>
      </c>
      <c r="E133" s="47" t="s">
        <v>221</v>
      </c>
      <c r="F133" s="47">
        <v>33.51</v>
      </c>
      <c r="G133" s="47">
        <v>2189</v>
      </c>
      <c r="H133" s="58" t="s">
        <v>222</v>
      </c>
      <c r="I133" s="48">
        <v>7498</v>
      </c>
      <c r="J133" s="47">
        <v>2383</v>
      </c>
      <c r="K133" s="47">
        <v>321</v>
      </c>
      <c r="L133" s="47" t="str">
        <f>IF(0.65*2189=0," ",TEXT(,ROUND((0.65*2189*3.37),2)))</f>
        <v>4795</v>
      </c>
      <c r="M133" s="47">
        <v>22.5</v>
      </c>
      <c r="N133" s="47">
        <v>14.63</v>
      </c>
      <c r="O133" s="49"/>
      <c r="P133" s="49"/>
      <c r="Q133" s="49"/>
      <c r="R133" s="49"/>
      <c r="S133" s="49"/>
      <c r="T133" s="50"/>
      <c r="U133" s="50"/>
      <c r="V133" s="50"/>
      <c r="W133" s="50"/>
      <c r="X133" s="50"/>
      <c r="Y133" s="50"/>
      <c r="Z133" s="50"/>
      <c r="AA133" s="50" t="s">
        <v>89</v>
      </c>
      <c r="AB133" s="50" t="s">
        <v>90</v>
      </c>
      <c r="AC133" s="50">
        <v>2145</v>
      </c>
      <c r="AD133" s="50">
        <v>1025</v>
      </c>
      <c r="AE133" s="50"/>
      <c r="AF133" s="50" t="s">
        <v>223</v>
      </c>
      <c r="AG133" s="50" t="s">
        <v>224</v>
      </c>
      <c r="AH133" s="50"/>
      <c r="AI133" s="50">
        <f>2383+0</f>
        <v>2383</v>
      </c>
    </row>
    <row r="134" spans="1:35" ht="140.25" x14ac:dyDescent="0.2">
      <c r="A134" s="44">
        <v>90</v>
      </c>
      <c r="B134" s="45" t="s">
        <v>431</v>
      </c>
      <c r="C134" s="46" t="str">
        <f t="shared" ca="1" si="3"/>
        <v xml:space="preserve">Изоляция изделиями из волокнистых и зернистых материалов с креплением на клее и дюбелями холодных поверхностей: внутренних стен и перегородок
100 м2 поверхности
1471 руб. НР 77%=100%*(0,85*0,9) от ФОТ (1910 руб.)
917 руб.СП 48%=70%*(0,8*0,85) от ФОТ (1910 руб.)
</v>
      </c>
      <c r="D134" s="44">
        <v>0.85</v>
      </c>
      <c r="E134" s="47" t="s">
        <v>432</v>
      </c>
      <c r="F134" s="47" t="s">
        <v>433</v>
      </c>
      <c r="G134" s="47">
        <v>43.45</v>
      </c>
      <c r="H134" s="58" t="s">
        <v>434</v>
      </c>
      <c r="I134" s="48">
        <v>2050</v>
      </c>
      <c r="J134" s="47">
        <v>1910</v>
      </c>
      <c r="K134" s="47">
        <v>89</v>
      </c>
      <c r="L134" s="47" t="str">
        <f>IF(0.85*43.45=0," ",TEXT(,ROUND((0.85*43.45*1.39),2)))</f>
        <v>51.34</v>
      </c>
      <c r="M134" s="47" t="s">
        <v>435</v>
      </c>
      <c r="N134" s="47" t="s">
        <v>436</v>
      </c>
      <c r="O134" s="49"/>
      <c r="P134" s="49"/>
      <c r="Q134" s="49"/>
      <c r="R134" s="49"/>
      <c r="S134" s="49"/>
      <c r="T134" s="50"/>
      <c r="U134" s="50"/>
      <c r="V134" s="50"/>
      <c r="W134" s="50"/>
      <c r="X134" s="50"/>
      <c r="Y134" s="50"/>
      <c r="Z134" s="50"/>
      <c r="AA134" s="50" t="s">
        <v>437</v>
      </c>
      <c r="AB134" s="50" t="s">
        <v>31</v>
      </c>
      <c r="AC134" s="50">
        <v>1471</v>
      </c>
      <c r="AD134" s="50">
        <v>917</v>
      </c>
      <c r="AE134" s="50"/>
      <c r="AF134" s="50" t="s">
        <v>438</v>
      </c>
      <c r="AG134" s="50" t="s">
        <v>439</v>
      </c>
      <c r="AH134" s="50"/>
      <c r="AI134" s="50">
        <f>1910+0</f>
        <v>1910</v>
      </c>
    </row>
    <row r="135" spans="1:35" ht="76.5" x14ac:dyDescent="0.2">
      <c r="A135" s="44">
        <v>91</v>
      </c>
      <c r="B135" s="45" t="s">
        <v>200</v>
      </c>
      <c r="C135" s="46" t="str">
        <f t="shared" ca="1" si="3"/>
        <v xml:space="preserve">Плиты теплоизоляционные энергетические гидрофобизированные базальтовые: ПТЭ-125 , размером 2000х1000х50 мм 4146,89/5,56=745,84
м3
</v>
      </c>
      <c r="D135" s="44" t="s">
        <v>440</v>
      </c>
      <c r="E135" s="47">
        <v>745.84</v>
      </c>
      <c r="F135" s="47"/>
      <c r="G135" s="47">
        <v>745.84</v>
      </c>
      <c r="H135" s="58" t="s">
        <v>154</v>
      </c>
      <c r="I135" s="48">
        <v>18153</v>
      </c>
      <c r="J135" s="47"/>
      <c r="K135" s="47"/>
      <c r="L135" s="47" t="str">
        <f>IF(4.3775*745.84=0," ",TEXT(,ROUND((4.3775*745.84*5.56),2)))</f>
        <v>18152.93</v>
      </c>
      <c r="M135" s="47"/>
      <c r="N135" s="47"/>
      <c r="O135" s="49"/>
      <c r="P135" s="49"/>
      <c r="Q135" s="49"/>
      <c r="R135" s="49"/>
      <c r="S135" s="49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 t="s">
        <v>202</v>
      </c>
      <c r="AG135" s="50" t="s">
        <v>184</v>
      </c>
      <c r="AH135" s="50"/>
      <c r="AI135" s="50">
        <f>0+0</f>
        <v>0</v>
      </c>
    </row>
    <row r="136" spans="1:35" ht="127.5" x14ac:dyDescent="0.2">
      <c r="A136" s="44">
        <v>92</v>
      </c>
      <c r="B136" s="45" t="s">
        <v>441</v>
      </c>
      <c r="C136" s="46" t="str">
        <f t="shared" ca="1" si="3"/>
        <v xml:space="preserve">Обивка стен кровельной сталью: оцинкованной по войлоку
100 м2 стен, фронтонов (за вычетом проемов) и развернутых поверхностей карнизов
5248 руб. НР 90%=118%*(0,85*0,9) от ФОТ (5831 руб.)
2507 руб.СП 43%=63%*(0,8*0,85) от ФОТ (5831 руб.)
</v>
      </c>
      <c r="D136" s="44">
        <v>1.0900000000000001</v>
      </c>
      <c r="E136" s="47" t="s">
        <v>442</v>
      </c>
      <c r="F136" s="47">
        <v>18.309999999999999</v>
      </c>
      <c r="G136" s="47">
        <v>6695.89</v>
      </c>
      <c r="H136" s="58" t="s">
        <v>443</v>
      </c>
      <c r="I136" s="48">
        <v>31599</v>
      </c>
      <c r="J136" s="47">
        <v>5831</v>
      </c>
      <c r="K136" s="47">
        <v>296</v>
      </c>
      <c r="L136" s="47" t="str">
        <f>IF(1.09*6695.89=0," ",TEXT(,ROUND((1.09*6695.89*3.49),2)))</f>
        <v>25471.84</v>
      </c>
      <c r="M136" s="47">
        <v>33.4</v>
      </c>
      <c r="N136" s="47">
        <v>36.409999999999997</v>
      </c>
      <c r="O136" s="49"/>
      <c r="P136" s="49"/>
      <c r="Q136" s="49"/>
      <c r="R136" s="49"/>
      <c r="S136" s="49"/>
      <c r="T136" s="50"/>
      <c r="U136" s="50"/>
      <c r="V136" s="50"/>
      <c r="W136" s="50"/>
      <c r="X136" s="50"/>
      <c r="Y136" s="50"/>
      <c r="Z136" s="50"/>
      <c r="AA136" s="50" t="s">
        <v>89</v>
      </c>
      <c r="AB136" s="50" t="s">
        <v>90</v>
      </c>
      <c r="AC136" s="50">
        <v>5248</v>
      </c>
      <c r="AD136" s="50">
        <v>2507</v>
      </c>
      <c r="AE136" s="50"/>
      <c r="AF136" s="50" t="s">
        <v>444</v>
      </c>
      <c r="AG136" s="50" t="s">
        <v>445</v>
      </c>
      <c r="AH136" s="50"/>
      <c r="AI136" s="50">
        <f>5831+0</f>
        <v>5831</v>
      </c>
    </row>
    <row r="137" spans="1:35" ht="51" x14ac:dyDescent="0.2">
      <c r="A137" s="44">
        <v>93</v>
      </c>
      <c r="B137" s="45" t="s">
        <v>446</v>
      </c>
      <c r="C137" s="46" t="str">
        <f t="shared" ca="1" si="3"/>
        <v xml:space="preserve">Войлок строительный
т
</v>
      </c>
      <c r="D137" s="44">
        <v>-0.19620000000000001</v>
      </c>
      <c r="E137" s="47">
        <v>9774.5</v>
      </c>
      <c r="F137" s="47"/>
      <c r="G137" s="47">
        <v>9774.5</v>
      </c>
      <c r="H137" s="58" t="s">
        <v>447</v>
      </c>
      <c r="I137" s="48">
        <v>-5186</v>
      </c>
      <c r="J137" s="47"/>
      <c r="K137" s="47"/>
      <c r="L137" s="47" t="str">
        <f>IF(-0.1962*9774.5=0," ",TEXT(,ROUND((-0.1962*9774.5*2.704),2)))</f>
        <v>-5185.61</v>
      </c>
      <c r="M137" s="47"/>
      <c r="N137" s="47"/>
      <c r="O137" s="49"/>
      <c r="P137" s="49"/>
      <c r="Q137" s="49"/>
      <c r="R137" s="49"/>
      <c r="S137" s="49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 t="s">
        <v>448</v>
      </c>
      <c r="AG137" s="50" t="s">
        <v>174</v>
      </c>
      <c r="AH137" s="50"/>
      <c r="AI137" s="50">
        <f>0+0</f>
        <v>0</v>
      </c>
    </row>
    <row r="138" spans="1:35" ht="127.5" x14ac:dyDescent="0.2">
      <c r="A138" s="44">
        <v>94</v>
      </c>
      <c r="B138" s="45" t="s">
        <v>449</v>
      </c>
      <c r="C138" s="46" t="str">
        <f t="shared" ca="1" si="3"/>
        <v xml:space="preserve">Устройство мелких покрытий (брандмауэры, парапеты, свесы и т.п.) из листовой оцинкованной стали
100 м2 покрытия
5178 руб. НР 92%=120%*(0,85*0,9) от ФОТ (5628 руб.)
2476 руб.СП 44%=65%*(0,8*0,85) от ФОТ (5628 руб.)
</v>
      </c>
      <c r="D138" s="44">
        <v>0.3</v>
      </c>
      <c r="E138" s="47" t="s">
        <v>450</v>
      </c>
      <c r="F138" s="47" t="s">
        <v>451</v>
      </c>
      <c r="G138" s="47">
        <v>8890.58</v>
      </c>
      <c r="H138" s="58" t="s">
        <v>452</v>
      </c>
      <c r="I138" s="48">
        <v>15000</v>
      </c>
      <c r="J138" s="47">
        <v>5611</v>
      </c>
      <c r="K138" s="47" t="s">
        <v>453</v>
      </c>
      <c r="L138" s="47" t="str">
        <f>IF(0.3*8890.58=0," ",TEXT(,ROUND((0.3*8890.58*3.48),2)))</f>
        <v>9281.77</v>
      </c>
      <c r="M138" s="47" t="s">
        <v>454</v>
      </c>
      <c r="N138" s="47" t="s">
        <v>455</v>
      </c>
      <c r="O138" s="49"/>
      <c r="P138" s="49"/>
      <c r="Q138" s="49"/>
      <c r="R138" s="49"/>
      <c r="S138" s="49"/>
      <c r="T138" s="50"/>
      <c r="U138" s="50"/>
      <c r="V138" s="50"/>
      <c r="W138" s="50"/>
      <c r="X138" s="50"/>
      <c r="Y138" s="50"/>
      <c r="Z138" s="50"/>
      <c r="AA138" s="50" t="s">
        <v>77</v>
      </c>
      <c r="AB138" s="50" t="s">
        <v>78</v>
      </c>
      <c r="AC138" s="50">
        <v>5178</v>
      </c>
      <c r="AD138" s="50">
        <v>2476</v>
      </c>
      <c r="AE138" s="50"/>
      <c r="AF138" s="50" t="s">
        <v>456</v>
      </c>
      <c r="AG138" s="50" t="s">
        <v>33</v>
      </c>
      <c r="AH138" s="50"/>
      <c r="AI138" s="50">
        <f>5611+17</f>
        <v>5628</v>
      </c>
    </row>
    <row r="139" spans="1:35" ht="63.75" x14ac:dyDescent="0.2">
      <c r="A139" s="44">
        <v>95</v>
      </c>
      <c r="B139" s="45" t="s">
        <v>457</v>
      </c>
      <c r="C139" s="46" t="str">
        <f t="shared" ca="1" si="3"/>
        <v xml:space="preserve">Сталь листовая оцинкованная толщиной листа: 0,8 мм
т
</v>
      </c>
      <c r="D139" s="44">
        <v>-0.2346</v>
      </c>
      <c r="E139" s="47">
        <v>11000</v>
      </c>
      <c r="F139" s="47"/>
      <c r="G139" s="47">
        <v>11000</v>
      </c>
      <c r="H139" s="58" t="s">
        <v>458</v>
      </c>
      <c r="I139" s="48">
        <v>-9746</v>
      </c>
      <c r="J139" s="47"/>
      <c r="K139" s="47"/>
      <c r="L139" s="47" t="str">
        <f>IF(-0.2346*11000=0," ",TEXT(,ROUND((-0.2346*11000*3.776),2)))</f>
        <v>-9744.35</v>
      </c>
      <c r="M139" s="47"/>
      <c r="N139" s="47"/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 t="s">
        <v>459</v>
      </c>
      <c r="AG139" s="50" t="s">
        <v>174</v>
      </c>
      <c r="AH139" s="50"/>
      <c r="AI139" s="50">
        <f>0+0</f>
        <v>0</v>
      </c>
    </row>
    <row r="140" spans="1:35" ht="63.75" x14ac:dyDescent="0.2">
      <c r="A140" s="44">
        <v>96</v>
      </c>
      <c r="B140" s="45" t="s">
        <v>319</v>
      </c>
      <c r="C140" s="46" t="str">
        <f t="shared" ca="1" si="3"/>
        <v xml:space="preserve">Сталь листовая оцинкованная толщиной листа: 0,55 мм
т
</v>
      </c>
      <c r="D140" s="44">
        <v>0.161</v>
      </c>
      <c r="E140" s="47">
        <v>10484</v>
      </c>
      <c r="F140" s="47"/>
      <c r="G140" s="47">
        <v>10484</v>
      </c>
      <c r="H140" s="58" t="s">
        <v>320</v>
      </c>
      <c r="I140" s="48">
        <v>6740</v>
      </c>
      <c r="J140" s="47"/>
      <c r="K140" s="47"/>
      <c r="L140" s="47" t="str">
        <f>IF(0.161*10484=0," ",TEXT(,ROUND((0.161*10484*3.993),2)))</f>
        <v>6739.88</v>
      </c>
      <c r="M140" s="47"/>
      <c r="N140" s="47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 t="s">
        <v>321</v>
      </c>
      <c r="AG140" s="50" t="s">
        <v>174</v>
      </c>
      <c r="AH140" s="50"/>
      <c r="AI140" s="50">
        <f>0+0</f>
        <v>0</v>
      </c>
    </row>
    <row r="141" spans="1:35" ht="114.75" x14ac:dyDescent="0.2">
      <c r="A141" s="44">
        <v>97</v>
      </c>
      <c r="B141" s="45" t="s">
        <v>460</v>
      </c>
      <c r="C141" s="46" t="str">
        <f t="shared" ca="1" si="3"/>
        <v xml:space="preserve">Установка зонтов над шахтами из листовой стали прямоугольного сечения периметром : 4000 мм
1 зонт
7436 руб. НР 98%=128%*(0,85*0,9) от ФОТ (7588 руб.)
4249 руб.СП 56%=83%*(0,8*0,85) от ФОТ (7588 руб.)
</v>
      </c>
      <c r="D141" s="44">
        <v>12</v>
      </c>
      <c r="E141" s="47" t="s">
        <v>461</v>
      </c>
      <c r="F141" s="47" t="s">
        <v>462</v>
      </c>
      <c r="G141" s="47">
        <v>8.49</v>
      </c>
      <c r="H141" s="58" t="s">
        <v>463</v>
      </c>
      <c r="I141" s="48">
        <v>9021</v>
      </c>
      <c r="J141" s="47">
        <v>7537</v>
      </c>
      <c r="K141" s="47" t="s">
        <v>464</v>
      </c>
      <c r="L141" s="47" t="str">
        <f>IF(12*8.49=0," ",TEXT(,ROUND((12*8.49*5.89),2)))</f>
        <v>600.07</v>
      </c>
      <c r="M141" s="47" t="s">
        <v>465</v>
      </c>
      <c r="N141" s="47" t="s">
        <v>466</v>
      </c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 t="s">
        <v>467</v>
      </c>
      <c r="AB141" s="50" t="s">
        <v>468</v>
      </c>
      <c r="AC141" s="50">
        <v>7436</v>
      </c>
      <c r="AD141" s="50">
        <v>4249</v>
      </c>
      <c r="AE141" s="50"/>
      <c r="AF141" s="50" t="s">
        <v>469</v>
      </c>
      <c r="AG141" s="50" t="s">
        <v>470</v>
      </c>
      <c r="AH141" s="50"/>
      <c r="AI141" s="50">
        <f>7537+51</f>
        <v>7588</v>
      </c>
    </row>
    <row r="142" spans="1:35" ht="76.5" x14ac:dyDescent="0.2">
      <c r="A142" s="44">
        <v>98</v>
      </c>
      <c r="B142" s="45" t="s">
        <v>471</v>
      </c>
      <c r="C142" s="46" t="str">
        <f t="shared" ca="1" si="3"/>
        <v xml:space="preserve">Зонты вентиляционных систем из листовой и сортовой стали: прямоугольные, диаметром шахты 4000 мм
шт.
</v>
      </c>
      <c r="D142" s="44">
        <v>12</v>
      </c>
      <c r="E142" s="47">
        <v>1175.1400000000001</v>
      </c>
      <c r="F142" s="47"/>
      <c r="G142" s="47">
        <v>1175.1400000000001</v>
      </c>
      <c r="H142" s="58" t="s">
        <v>472</v>
      </c>
      <c r="I142" s="48">
        <v>58453</v>
      </c>
      <c r="J142" s="47"/>
      <c r="K142" s="47"/>
      <c r="L142" s="47" t="str">
        <f>IF(12*1175.14=0," ",TEXT(,ROUND((12*1175.14*4.145),2)))</f>
        <v>58451.46</v>
      </c>
      <c r="M142" s="47"/>
      <c r="N142" s="47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 t="s">
        <v>473</v>
      </c>
      <c r="AG142" s="50" t="s">
        <v>234</v>
      </c>
      <c r="AH142" s="50"/>
      <c r="AI142" s="50">
        <f>0+0</f>
        <v>0</v>
      </c>
    </row>
    <row r="143" spans="1:35" ht="114.75" x14ac:dyDescent="0.2">
      <c r="A143" s="44">
        <v>99</v>
      </c>
      <c r="B143" s="45" t="s">
        <v>474</v>
      </c>
      <c r="C143" s="46" t="str">
        <f t="shared" ca="1" si="3"/>
        <v xml:space="preserve">Установка зонтов над шахтами из листовой стали прямоугольного сечения периметром : 2600 мм
1 зонт
3064 руб. НР 98%=128%*(0,85*0,9) от ФОТ (3127 руб.)
1751 руб.СП 56%=83%*(0,8*0,85) от ФОТ (3127 руб.)
</v>
      </c>
      <c r="D143" s="44">
        <v>8</v>
      </c>
      <c r="E143" s="47" t="s">
        <v>475</v>
      </c>
      <c r="F143" s="47">
        <v>4.38</v>
      </c>
      <c r="G143" s="47">
        <v>6.33</v>
      </c>
      <c r="H143" s="58" t="s">
        <v>463</v>
      </c>
      <c r="I143" s="48">
        <v>3762</v>
      </c>
      <c r="J143" s="47">
        <v>3127</v>
      </c>
      <c r="K143" s="47">
        <v>335</v>
      </c>
      <c r="L143" s="47" t="str">
        <f>IF(8*6.33=0," ",TEXT(,ROUND((8*6.33*5.89),2)))</f>
        <v>298.27</v>
      </c>
      <c r="M143" s="47">
        <v>2.27</v>
      </c>
      <c r="N143" s="47">
        <v>18.16</v>
      </c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 t="s">
        <v>467</v>
      </c>
      <c r="AB143" s="50" t="s">
        <v>468</v>
      </c>
      <c r="AC143" s="50">
        <v>3064</v>
      </c>
      <c r="AD143" s="50">
        <v>1751</v>
      </c>
      <c r="AE143" s="50"/>
      <c r="AF143" s="50" t="s">
        <v>476</v>
      </c>
      <c r="AG143" s="50" t="s">
        <v>470</v>
      </c>
      <c r="AH143" s="50"/>
      <c r="AI143" s="50">
        <f>3127+0</f>
        <v>3127</v>
      </c>
    </row>
    <row r="144" spans="1:35" ht="76.5" x14ac:dyDescent="0.2">
      <c r="A144" s="44">
        <v>100</v>
      </c>
      <c r="B144" s="45" t="s">
        <v>477</v>
      </c>
      <c r="C144" s="46" t="str">
        <f t="shared" ca="1" si="3"/>
        <v xml:space="preserve">Зонты вентиляционных систем из листовой и сортовой стали: прямоугольные, диаметром шахты 2600 мм
шт.
</v>
      </c>
      <c r="D144" s="44">
        <v>8</v>
      </c>
      <c r="E144" s="47">
        <v>477.84</v>
      </c>
      <c r="F144" s="47"/>
      <c r="G144" s="47">
        <v>477.84</v>
      </c>
      <c r="H144" s="58" t="s">
        <v>478</v>
      </c>
      <c r="I144" s="48">
        <v>17578</v>
      </c>
      <c r="J144" s="47"/>
      <c r="K144" s="47"/>
      <c r="L144" s="47" t="str">
        <f>IF(8*477.84=0," ",TEXT(,ROUND((8*477.84*4.598),2)))</f>
        <v>17576.87</v>
      </c>
      <c r="M144" s="47"/>
      <c r="N144" s="47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 t="s">
        <v>479</v>
      </c>
      <c r="AG144" s="50" t="s">
        <v>234</v>
      </c>
      <c r="AH144" s="50"/>
      <c r="AI144" s="50">
        <f>0+0</f>
        <v>0</v>
      </c>
    </row>
    <row r="145" spans="1:35" ht="63.75" x14ac:dyDescent="0.2">
      <c r="A145" s="44">
        <v>101</v>
      </c>
      <c r="B145" s="45" t="s">
        <v>480</v>
      </c>
      <c r="C145" s="46" t="str">
        <f t="shared" ca="1" si="3"/>
        <v xml:space="preserve">Сталь полосовая, марка стали: Ст0 шириной 70 мм толщиной 4-5 мм
т
</v>
      </c>
      <c r="D145" s="44">
        <v>0.441</v>
      </c>
      <c r="E145" s="47">
        <v>5561</v>
      </c>
      <c r="F145" s="47"/>
      <c r="G145" s="47">
        <v>5561</v>
      </c>
      <c r="H145" s="58" t="s">
        <v>481</v>
      </c>
      <c r="I145" s="48">
        <v>14553</v>
      </c>
      <c r="J145" s="47"/>
      <c r="K145" s="47"/>
      <c r="L145" s="47" t="str">
        <f>IF(0.441*5561=0," ",TEXT(,ROUND((0.441*5561*5.935),2)))</f>
        <v>14555</v>
      </c>
      <c r="M145" s="47"/>
      <c r="N145" s="47"/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 t="s">
        <v>482</v>
      </c>
      <c r="AG145" s="50" t="s">
        <v>174</v>
      </c>
      <c r="AH145" s="50"/>
      <c r="AI145" s="50">
        <f>0+0</f>
        <v>0</v>
      </c>
    </row>
    <row r="146" spans="1:35" ht="51" x14ac:dyDescent="0.2">
      <c r="A146" s="44">
        <v>102</v>
      </c>
      <c r="B146" s="45" t="s">
        <v>483</v>
      </c>
      <c r="C146" s="46" t="str">
        <f t="shared" ca="1" si="3"/>
        <v xml:space="preserve">Дюбель-гвоздь 8х100 мм
100 шт.
</v>
      </c>
      <c r="D146" s="44">
        <v>4.16</v>
      </c>
      <c r="E146" s="47">
        <v>118</v>
      </c>
      <c r="F146" s="47"/>
      <c r="G146" s="47">
        <v>118</v>
      </c>
      <c r="H146" s="58" t="s">
        <v>484</v>
      </c>
      <c r="I146" s="48">
        <v>676</v>
      </c>
      <c r="J146" s="47"/>
      <c r="K146" s="47"/>
      <c r="L146" s="47" t="str">
        <f>IF(4.16*118=0," ",TEXT(,ROUND((4.16*118*1.377),2)))</f>
        <v>675.94</v>
      </c>
      <c r="M146" s="47"/>
      <c r="N146" s="47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 t="s">
        <v>485</v>
      </c>
      <c r="AG146" s="50" t="s">
        <v>486</v>
      </c>
      <c r="AH146" s="50"/>
      <c r="AI146" s="50">
        <f>0+0</f>
        <v>0</v>
      </c>
    </row>
    <row r="147" spans="1:35" ht="17.850000000000001" customHeight="1" x14ac:dyDescent="0.2">
      <c r="A147" s="72" t="s">
        <v>487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pans="1:35" ht="127.5" x14ac:dyDescent="0.2">
      <c r="A148" s="44">
        <v>103</v>
      </c>
      <c r="B148" s="45" t="s">
        <v>488</v>
      </c>
      <c r="C148" s="46" t="str">
        <f t="shared" ref="C148:C158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Монтаж связей и распорок из одиночных и парных уголков, гнутосварных профилей для пролетов: до 24 м при высоте здания до 25 м
1 т конструкций
1470 руб. НР 69%=90%*(0,85*0,9) от ФОТ (2130 руб.)
1235 руб.СП 58%=85%*(0,8*0,85) от ФОТ (2130 руб.)
</v>
      </c>
      <c r="D148" s="44">
        <v>0.18</v>
      </c>
      <c r="E148" s="47" t="s">
        <v>489</v>
      </c>
      <c r="F148" s="47" t="s">
        <v>490</v>
      </c>
      <c r="G148" s="47">
        <v>232.35</v>
      </c>
      <c r="H148" s="58" t="s">
        <v>491</v>
      </c>
      <c r="I148" s="48">
        <v>3523</v>
      </c>
      <c r="J148" s="47">
        <v>1944</v>
      </c>
      <c r="K148" s="47" t="s">
        <v>492</v>
      </c>
      <c r="L148" s="47" t="str">
        <f>IF(0.18*232.35=0," ",TEXT(,ROUND((0.18*232.35*6.27),2)))</f>
        <v>262.23</v>
      </c>
      <c r="M148" s="47" t="s">
        <v>493</v>
      </c>
      <c r="N148" s="47" t="s">
        <v>494</v>
      </c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 t="s">
        <v>228</v>
      </c>
      <c r="AB148" s="50" t="s">
        <v>229</v>
      </c>
      <c r="AC148" s="50">
        <v>1470</v>
      </c>
      <c r="AD148" s="50">
        <v>1235</v>
      </c>
      <c r="AE148" s="50"/>
      <c r="AF148" s="50" t="s">
        <v>495</v>
      </c>
      <c r="AG148" s="50" t="s">
        <v>496</v>
      </c>
      <c r="AH148" s="50"/>
      <c r="AI148" s="50">
        <f>1944+186</f>
        <v>2130</v>
      </c>
    </row>
    <row r="149" spans="1:35" ht="89.25" x14ac:dyDescent="0.2">
      <c r="A149" s="44">
        <v>104</v>
      </c>
      <c r="B149" s="45" t="s">
        <v>497</v>
      </c>
      <c r="C149" s="46" t="str">
        <f t="shared" ca="1" si="4"/>
        <v xml:space="preserve">Отдельные конструктивные элементы зданий и сооружений с преобладанием: горячекатаных профилей, средняя масса сборочной единицы до 0,1 т
т
</v>
      </c>
      <c r="D149" s="44">
        <v>0.18</v>
      </c>
      <c r="E149" s="47">
        <v>8060</v>
      </c>
      <c r="F149" s="47"/>
      <c r="G149" s="47">
        <v>8060</v>
      </c>
      <c r="H149" s="58" t="s">
        <v>498</v>
      </c>
      <c r="I149" s="48">
        <v>13773</v>
      </c>
      <c r="J149" s="47"/>
      <c r="K149" s="47"/>
      <c r="L149" s="47" t="str">
        <f>IF(0.18*8060=0," ",TEXT(,ROUND((0.18*8060*9.492),2)))</f>
        <v>13770.99</v>
      </c>
      <c r="M149" s="47"/>
      <c r="N149" s="47"/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 t="s">
        <v>499</v>
      </c>
      <c r="AG149" s="50" t="s">
        <v>174</v>
      </c>
      <c r="AH149" s="50"/>
      <c r="AI149" s="50">
        <f>0+0</f>
        <v>0</v>
      </c>
    </row>
    <row r="150" spans="1:35" ht="51" x14ac:dyDescent="0.2">
      <c r="A150" s="44">
        <v>105</v>
      </c>
      <c r="B150" s="45" t="s">
        <v>500</v>
      </c>
      <c r="C150" s="46" t="str">
        <f t="shared" ca="1" si="4"/>
        <v xml:space="preserve">Профиль направляющий: ПН-6 100/40/0,6
м
</v>
      </c>
      <c r="D150" s="44">
        <v>134.4</v>
      </c>
      <c r="E150" s="47">
        <v>8.51</v>
      </c>
      <c r="F150" s="47"/>
      <c r="G150" s="47">
        <v>8.51</v>
      </c>
      <c r="H150" s="58" t="s">
        <v>501</v>
      </c>
      <c r="I150" s="48">
        <v>6659</v>
      </c>
      <c r="J150" s="47"/>
      <c r="K150" s="47"/>
      <c r="L150" s="47" t="str">
        <f>IF(134.4*8.51=0," ",TEXT(,ROUND((134.4*8.51*5.821),2)))</f>
        <v>6657.73</v>
      </c>
      <c r="M150" s="47"/>
      <c r="N150" s="47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 t="s">
        <v>502</v>
      </c>
      <c r="AG150" s="50" t="s">
        <v>359</v>
      </c>
      <c r="AH150" s="50"/>
      <c r="AI150" s="50">
        <f>0+0</f>
        <v>0</v>
      </c>
    </row>
    <row r="151" spans="1:35" ht="140.25" x14ac:dyDescent="0.2">
      <c r="A151" s="44">
        <v>106</v>
      </c>
      <c r="B151" s="45" t="s">
        <v>431</v>
      </c>
      <c r="C151" s="46" t="str">
        <f t="shared" ca="1" si="4"/>
        <v xml:space="preserve">Изоляция изделиями из волокнистых и зернистых материалов с креплением на клее и дюбелями холодных поверхностей: внутренних стен и перегородок
100 м2 поверхности
963 руб. НР 77%=100%*(0,85*0,9) от ФОТ (1251 руб.)
600 руб.СП 48%=70%*(0,8*0,85) от ФОТ (1251 руб.)
</v>
      </c>
      <c r="D151" s="44">
        <v>0.56000000000000005</v>
      </c>
      <c r="E151" s="47" t="s">
        <v>432</v>
      </c>
      <c r="F151" s="47" t="s">
        <v>433</v>
      </c>
      <c r="G151" s="47">
        <v>43.45</v>
      </c>
      <c r="H151" s="58" t="s">
        <v>434</v>
      </c>
      <c r="I151" s="48">
        <v>1345</v>
      </c>
      <c r="J151" s="47">
        <v>1251</v>
      </c>
      <c r="K151" s="47">
        <v>60</v>
      </c>
      <c r="L151" s="47" t="str">
        <f>IF(0.56*43.45=0," ",TEXT(,ROUND((0.56*43.45*1.39),2)))</f>
        <v>33.82</v>
      </c>
      <c r="M151" s="47" t="s">
        <v>435</v>
      </c>
      <c r="N151" s="47" t="s">
        <v>503</v>
      </c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 t="s">
        <v>437</v>
      </c>
      <c r="AB151" s="50" t="s">
        <v>31</v>
      </c>
      <c r="AC151" s="50">
        <v>963</v>
      </c>
      <c r="AD151" s="50">
        <v>600</v>
      </c>
      <c r="AE151" s="50"/>
      <c r="AF151" s="50" t="s">
        <v>438</v>
      </c>
      <c r="AG151" s="50" t="s">
        <v>439</v>
      </c>
      <c r="AH151" s="50"/>
      <c r="AI151" s="50">
        <f>1251+0</f>
        <v>1251</v>
      </c>
    </row>
    <row r="152" spans="1:35" ht="63.75" x14ac:dyDescent="0.2">
      <c r="A152" s="44">
        <v>107</v>
      </c>
      <c r="B152" s="45" t="s">
        <v>153</v>
      </c>
      <c r="C152" s="46" t="str">
        <f t="shared" ca="1" si="4"/>
        <v xml:space="preserve">Изоспан: Двухслойная паропроницаемая мембрана марки В 14,62/5,56=2,63
м2
</v>
      </c>
      <c r="D152" s="44">
        <v>61.1</v>
      </c>
      <c r="E152" s="47">
        <v>2.63</v>
      </c>
      <c r="F152" s="47"/>
      <c r="G152" s="47">
        <v>2.63</v>
      </c>
      <c r="H152" s="58" t="s">
        <v>154</v>
      </c>
      <c r="I152" s="48">
        <v>895</v>
      </c>
      <c r="J152" s="47"/>
      <c r="K152" s="47"/>
      <c r="L152" s="47" t="str">
        <f>IF(61.1*2.63=0," ",TEXT(,ROUND((61.1*2.63*5.56),2)))</f>
        <v>893.45</v>
      </c>
      <c r="M152" s="47"/>
      <c r="N152" s="47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 t="s">
        <v>155</v>
      </c>
      <c r="AG152" s="50" t="s">
        <v>152</v>
      </c>
      <c r="AH152" s="50"/>
      <c r="AI152" s="50">
        <f>0+0</f>
        <v>0</v>
      </c>
    </row>
    <row r="153" spans="1:35" ht="76.5" x14ac:dyDescent="0.2">
      <c r="A153" s="44">
        <v>108</v>
      </c>
      <c r="B153" s="45" t="s">
        <v>200</v>
      </c>
      <c r="C153" s="46" t="str">
        <f t="shared" ca="1" si="4"/>
        <v xml:space="preserve">Плиты теплоизоляционные энергетические гидрофобизированные базальтовые: ПТЭ-125 , размером 2000х1000х50 мм 4146,89/5,56=745,84
м3
</v>
      </c>
      <c r="D153" s="44" t="s">
        <v>504</v>
      </c>
      <c r="E153" s="47">
        <v>745.84</v>
      </c>
      <c r="F153" s="47"/>
      <c r="G153" s="47">
        <v>745.84</v>
      </c>
      <c r="H153" s="58" t="s">
        <v>154</v>
      </c>
      <c r="I153" s="48">
        <v>23919</v>
      </c>
      <c r="J153" s="47"/>
      <c r="K153" s="47"/>
      <c r="L153" s="47" t="str">
        <f>IF(5.768*745.84=0," ",TEXT(,ROUND((5.768*745.84*5.56),2)))</f>
        <v>23919.15</v>
      </c>
      <c r="M153" s="47"/>
      <c r="N153" s="47"/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 t="s">
        <v>202</v>
      </c>
      <c r="AG153" s="50" t="s">
        <v>184</v>
      </c>
      <c r="AH153" s="50"/>
      <c r="AI153" s="50">
        <f>0+0</f>
        <v>0</v>
      </c>
    </row>
    <row r="154" spans="1:35" ht="127.5" x14ac:dyDescent="0.2">
      <c r="A154" s="44">
        <v>109</v>
      </c>
      <c r="B154" s="45" t="s">
        <v>441</v>
      </c>
      <c r="C154" s="46" t="str">
        <f t="shared" ca="1" si="4"/>
        <v xml:space="preserve">Обивка стен кровельной сталью: оцинкованной по войлоку
100 м2 стен, фронтонов (за вычетом проемов) и развернутых поверхностей карнизов
2996 руб. НР 90%=118%*(0,85*0,9) от ФОТ (3329 руб.)
1431 руб.СП 43%=63%*(0,8*0,85) от ФОТ (3329 руб.)
</v>
      </c>
      <c r="D154" s="44">
        <v>0.62029999999999996</v>
      </c>
      <c r="E154" s="47" t="s">
        <v>442</v>
      </c>
      <c r="F154" s="47">
        <v>18.309999999999999</v>
      </c>
      <c r="G154" s="47">
        <v>6695.89</v>
      </c>
      <c r="H154" s="58" t="s">
        <v>443</v>
      </c>
      <c r="I154" s="48">
        <v>17988</v>
      </c>
      <c r="J154" s="47">
        <v>3329</v>
      </c>
      <c r="K154" s="47">
        <v>165</v>
      </c>
      <c r="L154" s="47" t="str">
        <f>IF(0.6203*6695.89=0," ",TEXT(,ROUND((0.6203*6695.89*3.49),2)))</f>
        <v>14495.58</v>
      </c>
      <c r="M154" s="47">
        <v>33.4</v>
      </c>
      <c r="N154" s="47">
        <v>20.72</v>
      </c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 t="s">
        <v>89</v>
      </c>
      <c r="AB154" s="50" t="s">
        <v>90</v>
      </c>
      <c r="AC154" s="50">
        <v>2996</v>
      </c>
      <c r="AD154" s="50">
        <v>1431</v>
      </c>
      <c r="AE154" s="50"/>
      <c r="AF154" s="50" t="s">
        <v>444</v>
      </c>
      <c r="AG154" s="50" t="s">
        <v>445</v>
      </c>
      <c r="AH154" s="50"/>
      <c r="AI154" s="50">
        <f>3329+0</f>
        <v>3329</v>
      </c>
    </row>
    <row r="155" spans="1:35" ht="51" x14ac:dyDescent="0.2">
      <c r="A155" s="44">
        <v>110</v>
      </c>
      <c r="B155" s="45" t="s">
        <v>446</v>
      </c>
      <c r="C155" s="46" t="str">
        <f t="shared" ca="1" si="4"/>
        <v xml:space="preserve">Войлок строительный
т
</v>
      </c>
      <c r="D155" s="44">
        <v>-0.11169999999999999</v>
      </c>
      <c r="E155" s="47">
        <v>9774.5</v>
      </c>
      <c r="F155" s="47"/>
      <c r="G155" s="47">
        <v>9774.5</v>
      </c>
      <c r="H155" s="58" t="s">
        <v>447</v>
      </c>
      <c r="I155" s="48">
        <v>-2953</v>
      </c>
      <c r="J155" s="47"/>
      <c r="K155" s="47"/>
      <c r="L155" s="47" t="str">
        <f>IF(-0.1117*9774.5=0," ",TEXT(,ROUND((-0.1117*9774.5*2.704),2)))</f>
        <v>-2952.26</v>
      </c>
      <c r="M155" s="47"/>
      <c r="N155" s="47"/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 t="s">
        <v>448</v>
      </c>
      <c r="AG155" s="50" t="s">
        <v>174</v>
      </c>
      <c r="AH155" s="50"/>
      <c r="AI155" s="50">
        <f>0+0</f>
        <v>0</v>
      </c>
    </row>
    <row r="156" spans="1:35" ht="127.5" x14ac:dyDescent="0.2">
      <c r="A156" s="44">
        <v>111</v>
      </c>
      <c r="B156" s="45" t="s">
        <v>449</v>
      </c>
      <c r="C156" s="46" t="str">
        <f t="shared" ca="1" si="4"/>
        <v xml:space="preserve">Устройство мелких покрытий (брандмауэры, парапеты, свесы и т.п.) из листовой оцинкованной стали
100 м2 покрытия
5349 руб. НР 92%=120%*(0,85*0,9) от ФОТ (5814 руб.)
2558 руб.СП 44%=65%*(0,8*0,85) от ФОТ (5814 руб.)
</v>
      </c>
      <c r="D156" s="44">
        <v>0.31</v>
      </c>
      <c r="E156" s="47" t="s">
        <v>450</v>
      </c>
      <c r="F156" s="47" t="s">
        <v>451</v>
      </c>
      <c r="G156" s="47">
        <v>8890.58</v>
      </c>
      <c r="H156" s="58" t="s">
        <v>452</v>
      </c>
      <c r="I156" s="48">
        <v>15496</v>
      </c>
      <c r="J156" s="47">
        <v>5797</v>
      </c>
      <c r="K156" s="47" t="s">
        <v>453</v>
      </c>
      <c r="L156" s="47" t="str">
        <f>IF(0.31*8890.58=0," ",TEXT(,ROUND((0.31*8890.58*3.48),2)))</f>
        <v>9591.16</v>
      </c>
      <c r="M156" s="47" t="s">
        <v>454</v>
      </c>
      <c r="N156" s="47" t="s">
        <v>505</v>
      </c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 t="s">
        <v>77</v>
      </c>
      <c r="AB156" s="50" t="s">
        <v>78</v>
      </c>
      <c r="AC156" s="50">
        <v>5349</v>
      </c>
      <c r="AD156" s="50">
        <v>2558</v>
      </c>
      <c r="AE156" s="50"/>
      <c r="AF156" s="50" t="s">
        <v>456</v>
      </c>
      <c r="AG156" s="50" t="s">
        <v>33</v>
      </c>
      <c r="AH156" s="50"/>
      <c r="AI156" s="50">
        <f>5797+17</f>
        <v>5814</v>
      </c>
    </row>
    <row r="157" spans="1:35" ht="63.75" x14ac:dyDescent="0.2">
      <c r="A157" s="44">
        <v>112</v>
      </c>
      <c r="B157" s="45" t="s">
        <v>457</v>
      </c>
      <c r="C157" s="46" t="str">
        <f t="shared" ca="1" si="4"/>
        <v xml:space="preserve">Сталь листовая оцинкованная толщиной листа: 0,8 мм
т
</v>
      </c>
      <c r="D157" s="44">
        <v>-0.2424</v>
      </c>
      <c r="E157" s="47">
        <v>11000</v>
      </c>
      <c r="F157" s="47"/>
      <c r="G157" s="47">
        <v>11000</v>
      </c>
      <c r="H157" s="58" t="s">
        <v>458</v>
      </c>
      <c r="I157" s="48">
        <v>-10067</v>
      </c>
      <c r="J157" s="47"/>
      <c r="K157" s="47"/>
      <c r="L157" s="47" t="str">
        <f>IF(-0.2424*11000=0," ",TEXT(,ROUND((-0.2424*11000*3.776),2)))</f>
        <v>-10068.33</v>
      </c>
      <c r="M157" s="47"/>
      <c r="N157" s="47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 t="s">
        <v>459</v>
      </c>
      <c r="AG157" s="50" t="s">
        <v>174</v>
      </c>
      <c r="AH157" s="50"/>
      <c r="AI157" s="50">
        <f>0+0</f>
        <v>0</v>
      </c>
    </row>
    <row r="158" spans="1:35" ht="63.75" x14ac:dyDescent="0.2">
      <c r="A158" s="52">
        <v>113</v>
      </c>
      <c r="B158" s="53" t="s">
        <v>319</v>
      </c>
      <c r="C158" s="54" t="str">
        <f t="shared" ca="1" si="4"/>
        <v xml:space="preserve">Сталь листовая оцинкованная толщиной листа: 0,55 мм
т
</v>
      </c>
      <c r="D158" s="52">
        <v>0.16700000000000001</v>
      </c>
      <c r="E158" s="55">
        <v>10484</v>
      </c>
      <c r="F158" s="55"/>
      <c r="G158" s="55">
        <v>10484</v>
      </c>
      <c r="H158" s="56" t="s">
        <v>320</v>
      </c>
      <c r="I158" s="57">
        <v>6992</v>
      </c>
      <c r="J158" s="55"/>
      <c r="K158" s="55"/>
      <c r="L158" s="55" t="str">
        <f>IF(0.167*10484=0," ",TEXT(,ROUND((0.167*10484*3.993),2)))</f>
        <v>6991.06</v>
      </c>
      <c r="M158" s="55"/>
      <c r="N158" s="55"/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 t="s">
        <v>321</v>
      </c>
      <c r="AG158" s="50" t="s">
        <v>174</v>
      </c>
      <c r="AH158" s="50"/>
      <c r="AI158" s="50">
        <f>0+0</f>
        <v>0</v>
      </c>
    </row>
    <row r="159" spans="1:35" ht="25.5" x14ac:dyDescent="0.2">
      <c r="A159" s="72" t="s">
        <v>125</v>
      </c>
      <c r="B159" s="65"/>
      <c r="C159" s="65"/>
      <c r="D159" s="65"/>
      <c r="E159" s="65"/>
      <c r="F159" s="65"/>
      <c r="G159" s="65"/>
      <c r="H159" s="65"/>
      <c r="I159" s="48">
        <v>50736</v>
      </c>
      <c r="J159" s="47">
        <v>2219</v>
      </c>
      <c r="K159" s="47" t="s">
        <v>506</v>
      </c>
      <c r="L159" s="47">
        <v>48105</v>
      </c>
      <c r="M159" s="47"/>
      <c r="N159" s="47" t="s">
        <v>507</v>
      </c>
      <c r="O159" s="17"/>
      <c r="P159" s="18"/>
      <c r="Q159" s="17"/>
      <c r="R159" s="17"/>
      <c r="S159" s="17"/>
    </row>
    <row r="160" spans="1:35" ht="25.5" x14ac:dyDescent="0.2">
      <c r="A160" s="72" t="s">
        <v>237</v>
      </c>
      <c r="B160" s="65"/>
      <c r="C160" s="65"/>
      <c r="D160" s="65"/>
      <c r="E160" s="65"/>
      <c r="F160" s="65"/>
      <c r="G160" s="65"/>
      <c r="H160" s="65"/>
      <c r="I160" s="48">
        <v>51173</v>
      </c>
      <c r="J160" s="47">
        <v>2551</v>
      </c>
      <c r="K160" s="47" t="s">
        <v>508</v>
      </c>
      <c r="L160" s="47">
        <v>48105</v>
      </c>
      <c r="M160" s="47"/>
      <c r="N160" s="47" t="s">
        <v>509</v>
      </c>
      <c r="O160" s="17"/>
      <c r="P160" s="18"/>
      <c r="Q160" s="17"/>
      <c r="R160" s="17"/>
      <c r="S160" s="17"/>
    </row>
    <row r="161" spans="1:35" x14ac:dyDescent="0.2">
      <c r="A161" s="72" t="s">
        <v>240</v>
      </c>
      <c r="B161" s="65"/>
      <c r="C161" s="65"/>
      <c r="D161" s="65"/>
      <c r="E161" s="65"/>
      <c r="F161" s="65"/>
      <c r="G161" s="65"/>
      <c r="H161" s="65"/>
      <c r="I161" s="48"/>
      <c r="J161" s="47"/>
      <c r="K161" s="47"/>
      <c r="L161" s="47"/>
      <c r="M161" s="47"/>
      <c r="N161" s="47"/>
      <c r="O161" s="17"/>
      <c r="P161" s="18"/>
      <c r="Q161" s="17"/>
      <c r="R161" s="17"/>
      <c r="S161" s="17"/>
    </row>
    <row r="162" spans="1:35" ht="27.95" customHeight="1" x14ac:dyDescent="0.2">
      <c r="A162" s="72" t="s">
        <v>510</v>
      </c>
      <c r="B162" s="65"/>
      <c r="C162" s="65"/>
      <c r="D162" s="65"/>
      <c r="E162" s="65"/>
      <c r="F162" s="65"/>
      <c r="G162" s="65"/>
      <c r="H162" s="65"/>
      <c r="I162" s="48">
        <v>437</v>
      </c>
      <c r="J162" s="47">
        <v>333</v>
      </c>
      <c r="K162" s="47" t="s">
        <v>511</v>
      </c>
      <c r="L162" s="47"/>
      <c r="M162" s="47"/>
      <c r="N162" s="47" t="s">
        <v>512</v>
      </c>
      <c r="O162" s="17"/>
      <c r="P162" s="18"/>
      <c r="Q162" s="17"/>
      <c r="R162" s="17"/>
      <c r="S162" s="17"/>
    </row>
    <row r="163" spans="1:35" ht="25.5" x14ac:dyDescent="0.2">
      <c r="A163" s="72" t="s">
        <v>128</v>
      </c>
      <c r="B163" s="65"/>
      <c r="C163" s="65"/>
      <c r="D163" s="65"/>
      <c r="E163" s="65"/>
      <c r="F163" s="65"/>
      <c r="G163" s="65"/>
      <c r="H163" s="65"/>
      <c r="I163" s="48">
        <v>268873</v>
      </c>
      <c r="J163" s="47">
        <v>43113</v>
      </c>
      <c r="K163" s="47" t="s">
        <v>513</v>
      </c>
      <c r="L163" s="47">
        <v>220261</v>
      </c>
      <c r="M163" s="47"/>
      <c r="N163" s="47" t="s">
        <v>509</v>
      </c>
      <c r="O163" s="17"/>
      <c r="P163" s="18"/>
      <c r="Q163" s="17"/>
      <c r="R163" s="17"/>
      <c r="S163" s="17"/>
    </row>
    <row r="164" spans="1:35" x14ac:dyDescent="0.2">
      <c r="A164" s="72" t="s">
        <v>130</v>
      </c>
      <c r="B164" s="65"/>
      <c r="C164" s="65"/>
      <c r="D164" s="65"/>
      <c r="E164" s="65"/>
      <c r="F164" s="65"/>
      <c r="G164" s="65"/>
      <c r="H164" s="65"/>
      <c r="I164" s="48">
        <v>39802</v>
      </c>
      <c r="J164" s="47"/>
      <c r="K164" s="47"/>
      <c r="L164" s="47"/>
      <c r="M164" s="47"/>
      <c r="N164" s="47"/>
      <c r="O164" s="17"/>
      <c r="P164" s="18"/>
      <c r="Q164" s="17"/>
      <c r="R164" s="17"/>
      <c r="S164" s="17"/>
    </row>
    <row r="165" spans="1:35" x14ac:dyDescent="0.2">
      <c r="A165" s="72" t="s">
        <v>131</v>
      </c>
      <c r="B165" s="65"/>
      <c r="C165" s="65"/>
      <c r="D165" s="65"/>
      <c r="E165" s="65"/>
      <c r="F165" s="65"/>
      <c r="G165" s="65"/>
      <c r="H165" s="65"/>
      <c r="I165" s="48">
        <v>21350</v>
      </c>
      <c r="J165" s="47"/>
      <c r="K165" s="47"/>
      <c r="L165" s="47"/>
      <c r="M165" s="47"/>
      <c r="N165" s="47"/>
      <c r="O165" s="17"/>
      <c r="P165" s="18"/>
      <c r="Q165" s="17"/>
      <c r="R165" s="17"/>
      <c r="S165" s="17"/>
    </row>
    <row r="166" spans="1:35" ht="25.5" x14ac:dyDescent="0.2">
      <c r="A166" s="68" t="s">
        <v>514</v>
      </c>
      <c r="B166" s="69"/>
      <c r="C166" s="69"/>
      <c r="D166" s="69"/>
      <c r="E166" s="69"/>
      <c r="F166" s="69"/>
      <c r="G166" s="69"/>
      <c r="H166" s="69"/>
      <c r="I166" s="59">
        <v>330025</v>
      </c>
      <c r="J166" s="60"/>
      <c r="K166" s="60"/>
      <c r="L166" s="60"/>
      <c r="M166" s="60"/>
      <c r="N166" s="60" t="s">
        <v>509</v>
      </c>
      <c r="O166" s="17"/>
      <c r="P166" s="18"/>
      <c r="Q166" s="17"/>
      <c r="R166" s="17"/>
      <c r="S166" s="17"/>
    </row>
    <row r="167" spans="1:35" ht="21" customHeight="1" x14ac:dyDescent="0.2">
      <c r="A167" s="70" t="s">
        <v>515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</row>
    <row r="168" spans="1:35" ht="127.5" x14ac:dyDescent="0.2">
      <c r="A168" s="44">
        <v>114</v>
      </c>
      <c r="B168" s="45" t="s">
        <v>516</v>
      </c>
      <c r="C168" s="46" t="str">
        <f t="shared" ref="C168:C178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5946 руб. НР 98%=128%*(0,85*0,9) от ФОТ (6067 руб.)
3398 руб.СП 56%=83%*(0,8*0,85) от ФОТ (6067 руб.)
</v>
      </c>
      <c r="D168" s="44" t="s">
        <v>517</v>
      </c>
      <c r="E168" s="47" t="s">
        <v>518</v>
      </c>
      <c r="F168" s="47" t="s">
        <v>519</v>
      </c>
      <c r="G168" s="47">
        <v>7166.84</v>
      </c>
      <c r="H168" s="58" t="s">
        <v>520</v>
      </c>
      <c r="I168" s="48">
        <v>17591</v>
      </c>
      <c r="J168" s="47">
        <v>6067</v>
      </c>
      <c r="K168" s="47">
        <v>47</v>
      </c>
      <c r="L168" s="47" t="str">
        <f>IF(0.51*7166.84=0," ",TEXT(,ROUND((0.51*7166.84*3.14),2)))</f>
        <v>11476.98</v>
      </c>
      <c r="M168" s="47" t="s">
        <v>521</v>
      </c>
      <c r="N168" s="47" t="s">
        <v>522</v>
      </c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 t="s">
        <v>467</v>
      </c>
      <c r="AB168" s="50" t="s">
        <v>468</v>
      </c>
      <c r="AC168" s="50">
        <v>5946</v>
      </c>
      <c r="AD168" s="50">
        <v>3398</v>
      </c>
      <c r="AE168" s="50"/>
      <c r="AF168" s="50" t="s">
        <v>523</v>
      </c>
      <c r="AG168" s="50" t="s">
        <v>524</v>
      </c>
      <c r="AH168" s="50"/>
      <c r="AI168" s="50">
        <f>6067+0</f>
        <v>6067</v>
      </c>
    </row>
    <row r="169" spans="1:35" ht="114.75" x14ac:dyDescent="0.2">
      <c r="A169" s="44">
        <v>115</v>
      </c>
      <c r="B169" s="45" t="s">
        <v>525</v>
      </c>
      <c r="C169" s="46" t="str">
        <f t="shared" ca="1" si="5"/>
        <v xml:space="preserve">Установка пароизоляционного слоя из: пленки полиэтиленовой (без стекловолокнистых материалов)
100 м2 поверхности покрытия изоляции
234 руб. НР 77%=100%*(0,85*0,9) от ФОТ (304 руб.)
146 руб.СП 48%=70%*(0,8*0,85) от ФОТ (304 руб.)
</v>
      </c>
      <c r="D169" s="44">
        <v>0.12640000000000001</v>
      </c>
      <c r="E169" s="47" t="s">
        <v>526</v>
      </c>
      <c r="F169" s="47">
        <v>21.79</v>
      </c>
      <c r="G169" s="47">
        <v>1385.68</v>
      </c>
      <c r="H169" s="58" t="s">
        <v>527</v>
      </c>
      <c r="I169" s="48">
        <v>787</v>
      </c>
      <c r="J169" s="47">
        <v>304</v>
      </c>
      <c r="K169" s="47">
        <v>47</v>
      </c>
      <c r="L169" s="47" t="str">
        <f>IF(0.1264*1385.68=0," ",TEXT(,ROUND((0.1264*1385.68*2.49),2)))</f>
        <v>436.12</v>
      </c>
      <c r="M169" s="47">
        <v>14.36</v>
      </c>
      <c r="N169" s="47">
        <v>1.82</v>
      </c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 t="s">
        <v>437</v>
      </c>
      <c r="AB169" s="50" t="s">
        <v>31</v>
      </c>
      <c r="AC169" s="50">
        <v>234</v>
      </c>
      <c r="AD169" s="50">
        <v>146</v>
      </c>
      <c r="AE169" s="50"/>
      <c r="AF169" s="50" t="s">
        <v>528</v>
      </c>
      <c r="AG169" s="50" t="s">
        <v>529</v>
      </c>
      <c r="AH169" s="50"/>
      <c r="AI169" s="50">
        <f>304+0</f>
        <v>304</v>
      </c>
    </row>
    <row r="170" spans="1:35" ht="63.75" x14ac:dyDescent="0.2">
      <c r="A170" s="44">
        <v>116</v>
      </c>
      <c r="B170" s="45" t="s">
        <v>530</v>
      </c>
      <c r="C170" s="46" t="str">
        <f t="shared" ca="1" si="5"/>
        <v xml:space="preserve">Пленка полиэтиленовая толщиной: 0,2-0,5 мм, изоловая
м2
</v>
      </c>
      <c r="D170" s="44">
        <v>-14.53</v>
      </c>
      <c r="E170" s="47">
        <v>4.82</v>
      </c>
      <c r="F170" s="47"/>
      <c r="G170" s="47">
        <v>4.82</v>
      </c>
      <c r="H170" s="58" t="s">
        <v>531</v>
      </c>
      <c r="I170" s="48">
        <v>-86</v>
      </c>
      <c r="J170" s="47"/>
      <c r="K170" s="47"/>
      <c r="L170" s="47" t="str">
        <f>IF(-14.53*4.82=0," ",TEXT(,ROUND((-14.53*4.82*1.222),2)))</f>
        <v>-85.58</v>
      </c>
      <c r="M170" s="47"/>
      <c r="N170" s="47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 t="s">
        <v>532</v>
      </c>
      <c r="AG170" s="50" t="s">
        <v>152</v>
      </c>
      <c r="AH170" s="50"/>
      <c r="AI170" s="50">
        <f>0+0</f>
        <v>0</v>
      </c>
    </row>
    <row r="171" spans="1:35" ht="63.75" x14ac:dyDescent="0.2">
      <c r="A171" s="44">
        <v>117</v>
      </c>
      <c r="B171" s="45" t="s">
        <v>153</v>
      </c>
      <c r="C171" s="46" t="str">
        <f t="shared" ca="1" si="5"/>
        <v xml:space="preserve">Изоспан: Двухслойная паропроницаемая мембрана марки В 14,62/5,56=2,63
м2
</v>
      </c>
      <c r="D171" s="44">
        <v>14.53</v>
      </c>
      <c r="E171" s="47">
        <v>2.63</v>
      </c>
      <c r="F171" s="47"/>
      <c r="G171" s="47">
        <v>2.63</v>
      </c>
      <c r="H171" s="58" t="s">
        <v>154</v>
      </c>
      <c r="I171" s="48">
        <v>211</v>
      </c>
      <c r="J171" s="47"/>
      <c r="K171" s="47"/>
      <c r="L171" s="47" t="str">
        <f>IF(14.53*2.63=0," ",TEXT(,ROUND((14.53*2.63*5.56),2)))</f>
        <v>212.47</v>
      </c>
      <c r="M171" s="47"/>
      <c r="N171" s="47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 t="s">
        <v>155</v>
      </c>
      <c r="AG171" s="50" t="s">
        <v>152</v>
      </c>
      <c r="AH171" s="50"/>
      <c r="AI171" s="50">
        <f>0+0</f>
        <v>0</v>
      </c>
    </row>
    <row r="172" spans="1:35" ht="153" x14ac:dyDescent="0.2">
      <c r="A172" s="44">
        <v>118</v>
      </c>
      <c r="B172" s="45" t="s">
        <v>533</v>
      </c>
      <c r="C172" s="46" t="str">
        <f t="shared" ca="1" si="5"/>
        <v xml:space="preserve">Изоляция трубопроводов: матами минераловатными марок 75, 100, плитами минераловатными на синтетическом связующем марки 75
1 м3 изоляции
(материалы МАТ=0 к расх.)
6780 руб. НР 77%=100%*(0,85*0,9) от ФОТ (8805 руб.)
4226 руб.СП 48%=70%*(0,8*0,85) от ФОТ (8805 руб.)
</v>
      </c>
      <c r="D172" s="44">
        <v>2.46</v>
      </c>
      <c r="E172" s="47" t="s">
        <v>534</v>
      </c>
      <c r="F172" s="47">
        <v>57.15</v>
      </c>
      <c r="G172" s="47"/>
      <c r="H172" s="58" t="s">
        <v>535</v>
      </c>
      <c r="I172" s="48">
        <v>10867</v>
      </c>
      <c r="J172" s="47">
        <v>8805</v>
      </c>
      <c r="K172" s="47">
        <v>2063</v>
      </c>
      <c r="L172" s="47" t="str">
        <f>IF(2.46*0=0," ",TEXT(,ROUND((2.46*0*3.43),2)))</f>
        <v xml:space="preserve"> </v>
      </c>
      <c r="M172" s="47">
        <v>18.850000000000001</v>
      </c>
      <c r="N172" s="47">
        <v>46.37</v>
      </c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 t="s">
        <v>437</v>
      </c>
      <c r="AB172" s="50" t="s">
        <v>31</v>
      </c>
      <c r="AC172" s="50">
        <v>6780</v>
      </c>
      <c r="AD172" s="50">
        <v>4226</v>
      </c>
      <c r="AE172" s="50" t="s">
        <v>536</v>
      </c>
      <c r="AF172" s="50" t="s">
        <v>537</v>
      </c>
      <c r="AG172" s="50" t="s">
        <v>538</v>
      </c>
      <c r="AH172" s="50"/>
      <c r="AI172" s="50">
        <f>8805+0</f>
        <v>8805</v>
      </c>
    </row>
    <row r="173" spans="1:35" ht="63.75" x14ac:dyDescent="0.2">
      <c r="A173" s="44">
        <v>119</v>
      </c>
      <c r="B173" s="45" t="s">
        <v>539</v>
      </c>
      <c r="C173" s="46" t="str">
        <f t="shared" ca="1" si="5"/>
        <v xml:space="preserve">Утеплитель URSA: М 15, толщиной 50 мм 94,37/5,56=16,97
м2
</v>
      </c>
      <c r="D173" s="44" t="s">
        <v>540</v>
      </c>
      <c r="E173" s="47">
        <v>16.97</v>
      </c>
      <c r="F173" s="47"/>
      <c r="G173" s="47">
        <v>16.97</v>
      </c>
      <c r="H173" s="58" t="s">
        <v>154</v>
      </c>
      <c r="I173" s="48">
        <v>4782</v>
      </c>
      <c r="J173" s="47"/>
      <c r="K173" s="47"/>
      <c r="L173" s="47" t="str">
        <f>IF(50.676*16.97=0," ",TEXT(,ROUND((50.676*16.97*5.56),2)))</f>
        <v>4781.44</v>
      </c>
      <c r="M173" s="47"/>
      <c r="N173" s="47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 t="s">
        <v>541</v>
      </c>
      <c r="AG173" s="50" t="s">
        <v>152</v>
      </c>
      <c r="AH173" s="50"/>
      <c r="AI173" s="50">
        <f>0+0</f>
        <v>0</v>
      </c>
    </row>
    <row r="174" spans="1:35" ht="153" x14ac:dyDescent="0.2">
      <c r="A174" s="44">
        <v>120</v>
      </c>
      <c r="B174" s="45" t="s">
        <v>542</v>
      </c>
      <c r="C174" s="46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(В 2 слоя ПЗ=2 (ОЗП=2; ЭМ=2 к расх.; ЗПМ=2; МАТ=2 к расх.; ТЗ=2; ТЗМ=2);
материалы МАТ=0 к расх.)
2030 руб. НР 77%=100%*(0,85*0,9) от ФОТ (2636 руб.)
1265 руб.СП 48%=70%*(0,8*0,85) от ФОТ (2636 руб.)
</v>
      </c>
      <c r="D174" s="44">
        <v>0.246</v>
      </c>
      <c r="E174" s="47" t="s">
        <v>543</v>
      </c>
      <c r="F174" s="47">
        <v>101.18</v>
      </c>
      <c r="G174" s="47"/>
      <c r="H174" s="58" t="s">
        <v>544</v>
      </c>
      <c r="I174" s="48">
        <v>2969</v>
      </c>
      <c r="J174" s="47">
        <v>2636</v>
      </c>
      <c r="K174" s="47">
        <v>333</v>
      </c>
      <c r="L174" s="47" t="str">
        <f>IF(0.246*0=0," ",TEXT(,ROUND((0.246*0*9.72),2)))</f>
        <v xml:space="preserve"> </v>
      </c>
      <c r="M174" s="47">
        <v>63.96</v>
      </c>
      <c r="N174" s="47">
        <v>15.73</v>
      </c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 t="s">
        <v>437</v>
      </c>
      <c r="AB174" s="50" t="s">
        <v>31</v>
      </c>
      <c r="AC174" s="50">
        <v>2030</v>
      </c>
      <c r="AD174" s="50">
        <v>1265</v>
      </c>
      <c r="AE174" s="61" t="s">
        <v>545</v>
      </c>
      <c r="AF174" s="50" t="s">
        <v>546</v>
      </c>
      <c r="AG174" s="50" t="s">
        <v>529</v>
      </c>
      <c r="AH174" s="50"/>
      <c r="AI174" s="50">
        <f>2636+0</f>
        <v>2636</v>
      </c>
    </row>
    <row r="175" spans="1:35" ht="51" x14ac:dyDescent="0.2">
      <c r="A175" s="44">
        <v>121</v>
      </c>
      <c r="B175" s="45" t="s">
        <v>547</v>
      </c>
      <c r="C175" s="46" t="str">
        <f t="shared" ca="1" si="5"/>
        <v xml:space="preserve">Ткань стеклянная конструкционная марки: Т-13
1000 м2
</v>
      </c>
      <c r="D175" s="44">
        <v>5.3900000000000003E-2</v>
      </c>
      <c r="E175" s="47">
        <v>15914</v>
      </c>
      <c r="F175" s="47"/>
      <c r="G175" s="47">
        <v>15914</v>
      </c>
      <c r="H175" s="58" t="s">
        <v>548</v>
      </c>
      <c r="I175" s="48">
        <v>1900</v>
      </c>
      <c r="J175" s="47"/>
      <c r="K175" s="47"/>
      <c r="L175" s="47" t="str">
        <f>IF(0.0539*15914=0," ",TEXT(,ROUND((0.0539*15914*2.215),2)))</f>
        <v>1899.95</v>
      </c>
      <c r="M175" s="47"/>
      <c r="N175" s="47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 t="s">
        <v>549</v>
      </c>
      <c r="AG175" s="50" t="s">
        <v>550</v>
      </c>
      <c r="AH175" s="50"/>
      <c r="AI175" s="50">
        <f>0+0</f>
        <v>0</v>
      </c>
    </row>
    <row r="176" spans="1:35" ht="127.5" x14ac:dyDescent="0.2">
      <c r="A176" s="44">
        <v>122</v>
      </c>
      <c r="B176" s="45" t="s">
        <v>551</v>
      </c>
      <c r="C176" s="46" t="str">
        <f t="shared" ca="1" si="5"/>
        <v xml:space="preserve">Покрытие изоляции плоских (криволинейных) поверхностей листовым металлом с заготовкой покрытия
100 м2 поверхности покрытия изоляции
6090 руб. НР 77%=100%*(0,85*0,9) от ФОТ (7909 руб.)
3796 руб.СП 48%=70%*(0,8*0,85) от ФОТ (7909 руб.)
</v>
      </c>
      <c r="D176" s="44" t="s">
        <v>552</v>
      </c>
      <c r="E176" s="47" t="s">
        <v>553</v>
      </c>
      <c r="F176" s="47">
        <v>578.44000000000005</v>
      </c>
      <c r="G176" s="47">
        <v>8515.41</v>
      </c>
      <c r="H176" s="58" t="s">
        <v>554</v>
      </c>
      <c r="I176" s="48">
        <v>20134</v>
      </c>
      <c r="J176" s="47">
        <v>7909</v>
      </c>
      <c r="K176" s="47">
        <v>1899</v>
      </c>
      <c r="L176" s="47" t="str">
        <f>IF(0.3216*8515.41=0," ",TEXT(,ROUND((0.3216*8515.41*3.77),2)))</f>
        <v>10324.36</v>
      </c>
      <c r="M176" s="47">
        <v>139.55000000000001</v>
      </c>
      <c r="N176" s="47">
        <v>44.88</v>
      </c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 t="s">
        <v>437</v>
      </c>
      <c r="AB176" s="50" t="s">
        <v>31</v>
      </c>
      <c r="AC176" s="50">
        <v>6090</v>
      </c>
      <c r="AD176" s="50">
        <v>3796</v>
      </c>
      <c r="AE176" s="50"/>
      <c r="AF176" s="50" t="s">
        <v>555</v>
      </c>
      <c r="AG176" s="50" t="s">
        <v>529</v>
      </c>
      <c r="AH176" s="50"/>
      <c r="AI176" s="50">
        <f>7909+0</f>
        <v>7909</v>
      </c>
    </row>
    <row r="177" spans="1:35" ht="63.75" x14ac:dyDescent="0.2">
      <c r="A177" s="44">
        <v>123</v>
      </c>
      <c r="B177" s="45" t="s">
        <v>457</v>
      </c>
      <c r="C177" s="46" t="str">
        <f t="shared" ca="1" si="5"/>
        <v xml:space="preserve">Сталь листовая оцинкованная толщиной листа: 0,8 мм
т
</v>
      </c>
      <c r="D177" s="44">
        <v>-0.24729999999999999</v>
      </c>
      <c r="E177" s="47">
        <v>11000</v>
      </c>
      <c r="F177" s="47"/>
      <c r="G177" s="47">
        <v>11000</v>
      </c>
      <c r="H177" s="58" t="s">
        <v>458</v>
      </c>
      <c r="I177" s="48">
        <v>-10271</v>
      </c>
      <c r="J177" s="47"/>
      <c r="K177" s="47"/>
      <c r="L177" s="47" t="str">
        <f>IF(-0.2473*11000=0," ",TEXT(,ROUND((-0.2473*11000*3.776),2)))</f>
        <v>-10271.85</v>
      </c>
      <c r="M177" s="47"/>
      <c r="N177" s="47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 t="s">
        <v>459</v>
      </c>
      <c r="AG177" s="50" t="s">
        <v>174</v>
      </c>
      <c r="AH177" s="50"/>
      <c r="AI177" s="50">
        <f>0+0</f>
        <v>0</v>
      </c>
    </row>
    <row r="178" spans="1:35" ht="63.75" x14ac:dyDescent="0.2">
      <c r="A178" s="52">
        <v>124</v>
      </c>
      <c r="B178" s="53" t="s">
        <v>319</v>
      </c>
      <c r="C178" s="54" t="str">
        <f t="shared" ca="1" si="5"/>
        <v xml:space="preserve">Сталь листовая оцинкованная толщиной листа: 0,55 мм
т
</v>
      </c>
      <c r="D178" s="52">
        <v>0.17</v>
      </c>
      <c r="E178" s="55">
        <v>10484</v>
      </c>
      <c r="F178" s="55"/>
      <c r="G178" s="55">
        <v>10484</v>
      </c>
      <c r="H178" s="56" t="s">
        <v>320</v>
      </c>
      <c r="I178" s="57">
        <v>7116</v>
      </c>
      <c r="J178" s="55"/>
      <c r="K178" s="55"/>
      <c r="L178" s="55" t="str">
        <f>IF(0.17*10484=0," ",TEXT(,ROUND((0.17*10484*3.993),2)))</f>
        <v>7116.64</v>
      </c>
      <c r="M178" s="55"/>
      <c r="N178" s="55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 t="s">
        <v>321</v>
      </c>
      <c r="AG178" s="50" t="s">
        <v>174</v>
      </c>
      <c r="AH178" s="50"/>
      <c r="AI178" s="50">
        <f>0+0</f>
        <v>0</v>
      </c>
    </row>
    <row r="179" spans="1:35" ht="25.5" x14ac:dyDescent="0.2">
      <c r="A179" s="72" t="s">
        <v>125</v>
      </c>
      <c r="B179" s="65"/>
      <c r="C179" s="65"/>
      <c r="D179" s="65"/>
      <c r="E179" s="65"/>
      <c r="F179" s="65"/>
      <c r="G179" s="65"/>
      <c r="H179" s="65"/>
      <c r="I179" s="48">
        <v>8998</v>
      </c>
      <c r="J179" s="47">
        <v>1324</v>
      </c>
      <c r="K179" s="47">
        <v>358</v>
      </c>
      <c r="L179" s="47">
        <v>7317</v>
      </c>
      <c r="M179" s="47"/>
      <c r="N179" s="47" t="s">
        <v>556</v>
      </c>
      <c r="O179" s="17"/>
      <c r="P179" s="18"/>
      <c r="Q179" s="17"/>
      <c r="R179" s="17"/>
      <c r="S179" s="17"/>
    </row>
    <row r="180" spans="1:35" ht="25.5" x14ac:dyDescent="0.2">
      <c r="A180" s="72" t="s">
        <v>237</v>
      </c>
      <c r="B180" s="65"/>
      <c r="C180" s="65"/>
      <c r="D180" s="65"/>
      <c r="E180" s="65"/>
      <c r="F180" s="65"/>
      <c r="G180" s="65"/>
      <c r="H180" s="65"/>
      <c r="I180" s="48">
        <v>9286</v>
      </c>
      <c r="J180" s="47">
        <v>1522</v>
      </c>
      <c r="K180" s="47">
        <v>448</v>
      </c>
      <c r="L180" s="47">
        <v>7317</v>
      </c>
      <c r="M180" s="47"/>
      <c r="N180" s="47" t="s">
        <v>557</v>
      </c>
      <c r="O180" s="17"/>
      <c r="P180" s="18"/>
      <c r="Q180" s="17"/>
      <c r="R180" s="17"/>
      <c r="S180" s="17"/>
    </row>
    <row r="181" spans="1:35" x14ac:dyDescent="0.2">
      <c r="A181" s="72" t="s">
        <v>240</v>
      </c>
      <c r="B181" s="65"/>
      <c r="C181" s="65"/>
      <c r="D181" s="65"/>
      <c r="E181" s="65"/>
      <c r="F181" s="65"/>
      <c r="G181" s="65"/>
      <c r="H181" s="65"/>
      <c r="I181" s="48"/>
      <c r="J181" s="47"/>
      <c r="K181" s="47"/>
      <c r="L181" s="47"/>
      <c r="M181" s="47"/>
      <c r="N181" s="47"/>
      <c r="O181" s="17"/>
      <c r="P181" s="18"/>
      <c r="Q181" s="17"/>
      <c r="R181" s="17"/>
      <c r="S181" s="17"/>
    </row>
    <row r="182" spans="1:35" ht="27.95" customHeight="1" x14ac:dyDescent="0.2">
      <c r="A182" s="72" t="s">
        <v>558</v>
      </c>
      <c r="B182" s="65"/>
      <c r="C182" s="65"/>
      <c r="D182" s="65"/>
      <c r="E182" s="65"/>
      <c r="F182" s="65"/>
      <c r="G182" s="65"/>
      <c r="H182" s="65"/>
      <c r="I182" s="48">
        <v>288</v>
      </c>
      <c r="J182" s="47">
        <v>199</v>
      </c>
      <c r="K182" s="47">
        <v>90</v>
      </c>
      <c r="L182" s="47"/>
      <c r="M182" s="47"/>
      <c r="N182" s="47" t="s">
        <v>559</v>
      </c>
      <c r="O182" s="17"/>
      <c r="P182" s="18"/>
      <c r="Q182" s="17"/>
      <c r="R182" s="17"/>
      <c r="S182" s="17"/>
    </row>
    <row r="183" spans="1:35" ht="25.5" x14ac:dyDescent="0.2">
      <c r="A183" s="72" t="s">
        <v>128</v>
      </c>
      <c r="B183" s="65"/>
      <c r="C183" s="65"/>
      <c r="D183" s="65"/>
      <c r="E183" s="65"/>
      <c r="F183" s="65"/>
      <c r="G183" s="65"/>
      <c r="H183" s="65"/>
      <c r="I183" s="48">
        <v>56000</v>
      </c>
      <c r="J183" s="47">
        <v>25721</v>
      </c>
      <c r="K183" s="47">
        <v>4389</v>
      </c>
      <c r="L183" s="47">
        <v>25891</v>
      </c>
      <c r="M183" s="47"/>
      <c r="N183" s="47" t="s">
        <v>557</v>
      </c>
      <c r="O183" s="17"/>
      <c r="P183" s="18"/>
      <c r="Q183" s="17"/>
      <c r="R183" s="17"/>
      <c r="S183" s="17"/>
    </row>
    <row r="184" spans="1:35" x14ac:dyDescent="0.2">
      <c r="A184" s="72" t="s">
        <v>130</v>
      </c>
      <c r="B184" s="65"/>
      <c r="C184" s="65"/>
      <c r="D184" s="65"/>
      <c r="E184" s="65"/>
      <c r="F184" s="65"/>
      <c r="G184" s="65"/>
      <c r="H184" s="65"/>
      <c r="I184" s="48">
        <v>21080</v>
      </c>
      <c r="J184" s="47"/>
      <c r="K184" s="47"/>
      <c r="L184" s="47"/>
      <c r="M184" s="47"/>
      <c r="N184" s="47"/>
      <c r="O184" s="17"/>
      <c r="P184" s="18"/>
      <c r="Q184" s="17"/>
      <c r="R184" s="17"/>
      <c r="S184" s="17"/>
    </row>
    <row r="185" spans="1:35" x14ac:dyDescent="0.2">
      <c r="A185" s="72" t="s">
        <v>131</v>
      </c>
      <c r="B185" s="65"/>
      <c r="C185" s="65"/>
      <c r="D185" s="65"/>
      <c r="E185" s="65"/>
      <c r="F185" s="65"/>
      <c r="G185" s="65"/>
      <c r="H185" s="65"/>
      <c r="I185" s="48">
        <v>12832</v>
      </c>
      <c r="J185" s="47"/>
      <c r="K185" s="47"/>
      <c r="L185" s="47"/>
      <c r="M185" s="47"/>
      <c r="N185" s="47"/>
      <c r="O185" s="17"/>
      <c r="P185" s="18"/>
      <c r="Q185" s="17"/>
      <c r="R185" s="17"/>
      <c r="S185" s="17"/>
    </row>
    <row r="186" spans="1:35" ht="25.5" x14ac:dyDescent="0.2">
      <c r="A186" s="68" t="s">
        <v>560</v>
      </c>
      <c r="B186" s="69"/>
      <c r="C186" s="69"/>
      <c r="D186" s="69"/>
      <c r="E186" s="69"/>
      <c r="F186" s="69"/>
      <c r="G186" s="69"/>
      <c r="H186" s="69"/>
      <c r="I186" s="59">
        <v>89912</v>
      </c>
      <c r="J186" s="60"/>
      <c r="K186" s="60"/>
      <c r="L186" s="60"/>
      <c r="M186" s="60"/>
      <c r="N186" s="60" t="s">
        <v>557</v>
      </c>
      <c r="O186" s="17"/>
      <c r="P186" s="18"/>
      <c r="Q186" s="17"/>
      <c r="R186" s="17"/>
      <c r="S186" s="17"/>
    </row>
    <row r="187" spans="1:35" ht="21" customHeight="1" x14ac:dyDescent="0.2">
      <c r="A187" s="70" t="s">
        <v>561</v>
      </c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</row>
    <row r="188" spans="1:35" ht="102" x14ac:dyDescent="0.2">
      <c r="A188" s="44">
        <v>125</v>
      </c>
      <c r="B188" s="45" t="s">
        <v>562</v>
      </c>
      <c r="C188" s="46" t="str">
        <f t="shared" ref="C188:C199" ca="1" si="6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6393 руб. НР 81%=95%*0,85 от ФОТ (7893 руб.)
4104 руб.СП 52%=65%*0,8 от ФОТ (7893 руб.)
</v>
      </c>
      <c r="D188" s="44">
        <v>2.4500000000000002</v>
      </c>
      <c r="E188" s="47" t="s">
        <v>563</v>
      </c>
      <c r="F188" s="47" t="s">
        <v>564</v>
      </c>
      <c r="G188" s="47">
        <v>301.01</v>
      </c>
      <c r="H188" s="58" t="s">
        <v>565</v>
      </c>
      <c r="I188" s="48">
        <v>11492</v>
      </c>
      <c r="J188" s="47">
        <v>7825</v>
      </c>
      <c r="K188" s="47" t="s">
        <v>566</v>
      </c>
      <c r="L188" s="47" t="str">
        <f>IF(2.45*301.01=0," ",TEXT(,ROUND((2.45*301.01*3.52),2)))</f>
        <v>2595.91</v>
      </c>
      <c r="M188" s="47" t="s">
        <v>567</v>
      </c>
      <c r="N188" s="47" t="s">
        <v>568</v>
      </c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 t="s">
        <v>569</v>
      </c>
      <c r="AB188" s="50" t="s">
        <v>39</v>
      </c>
      <c r="AC188" s="50">
        <v>6393</v>
      </c>
      <c r="AD188" s="50">
        <v>4104</v>
      </c>
      <c r="AE188" s="50"/>
      <c r="AF188" s="50" t="s">
        <v>570</v>
      </c>
      <c r="AG188" s="50" t="s">
        <v>571</v>
      </c>
      <c r="AH188" s="50"/>
      <c r="AI188" s="50">
        <f>7825+68</f>
        <v>7893</v>
      </c>
    </row>
    <row r="189" spans="1:35" ht="102" x14ac:dyDescent="0.2">
      <c r="A189" s="44">
        <v>126</v>
      </c>
      <c r="B189" s="45" t="s">
        <v>562</v>
      </c>
      <c r="C189" s="46" t="str">
        <f t="shared" ca="1" si="6"/>
        <v xml:space="preserve">Проводник заземляющий открыто по строительным основаниям: из круглой стали диаметром 8 мм
100 м
3162 руб. НР 81%=95%*0,85 от ФОТ (3904 руб.)
2030 руб.СП 52%=65%*0,8 от ФОТ (3904 руб.)
</v>
      </c>
      <c r="D189" s="44">
        <v>1.21</v>
      </c>
      <c r="E189" s="47" t="s">
        <v>563</v>
      </c>
      <c r="F189" s="47" t="s">
        <v>564</v>
      </c>
      <c r="G189" s="47">
        <v>301.01</v>
      </c>
      <c r="H189" s="58" t="s">
        <v>565</v>
      </c>
      <c r="I189" s="48">
        <v>5679</v>
      </c>
      <c r="J189" s="47">
        <v>3870</v>
      </c>
      <c r="K189" s="47" t="s">
        <v>572</v>
      </c>
      <c r="L189" s="47" t="str">
        <f>IF(1.21*301.01=0," ",TEXT(,ROUND((1.21*301.01*3.52),2)))</f>
        <v>1282.06</v>
      </c>
      <c r="M189" s="47" t="s">
        <v>567</v>
      </c>
      <c r="N189" s="47" t="s">
        <v>573</v>
      </c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 t="s">
        <v>569</v>
      </c>
      <c r="AB189" s="50" t="s">
        <v>39</v>
      </c>
      <c r="AC189" s="50">
        <v>3162</v>
      </c>
      <c r="AD189" s="50">
        <v>2030</v>
      </c>
      <c r="AE189" s="50"/>
      <c r="AF189" s="50" t="s">
        <v>570</v>
      </c>
      <c r="AG189" s="50" t="s">
        <v>571</v>
      </c>
      <c r="AH189" s="50"/>
      <c r="AI189" s="50">
        <f>3870+34</f>
        <v>3904</v>
      </c>
    </row>
    <row r="190" spans="1:35" ht="63.75" x14ac:dyDescent="0.2">
      <c r="A190" s="44">
        <v>127</v>
      </c>
      <c r="B190" s="45" t="s">
        <v>574</v>
      </c>
      <c r="C190" s="46" t="str">
        <f t="shared" ca="1" si="6"/>
        <v xml:space="preserve">Сталь листовая углеродистая обыкновенного качества марки ВСт3пс5 толщиной: 4-6 мм
т
</v>
      </c>
      <c r="D190" s="44" t="s">
        <v>575</v>
      </c>
      <c r="E190" s="47">
        <v>5763</v>
      </c>
      <c r="F190" s="47"/>
      <c r="G190" s="47">
        <v>5763</v>
      </c>
      <c r="H190" s="58" t="s">
        <v>576</v>
      </c>
      <c r="I190" s="48">
        <v>-4250</v>
      </c>
      <c r="J190" s="47"/>
      <c r="K190" s="47"/>
      <c r="L190" s="47" t="str">
        <f>IF(-0.1464*5763=0," ",TEXT(,ROUND((-0.1464*5763*5.035),2)))</f>
        <v>-4248.05</v>
      </c>
      <c r="M190" s="47"/>
      <c r="N190" s="47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 t="s">
        <v>577</v>
      </c>
      <c r="AG190" s="50" t="s">
        <v>174</v>
      </c>
      <c r="AH190" s="50"/>
      <c r="AI190" s="50">
        <f>0+0</f>
        <v>0</v>
      </c>
    </row>
    <row r="191" spans="1:35" ht="63.75" x14ac:dyDescent="0.2">
      <c r="A191" s="44">
        <v>128</v>
      </c>
      <c r="B191" s="45" t="s">
        <v>578</v>
      </c>
      <c r="C191" s="46" t="str">
        <f t="shared" ca="1" si="6"/>
        <v xml:space="preserve">Сталь круглая углеродистая обыкновенного качества марки ВСт3пс5-1 диаметром: 8 мм
т
</v>
      </c>
      <c r="D191" s="44" t="s">
        <v>579</v>
      </c>
      <c r="E191" s="47">
        <v>5230.01</v>
      </c>
      <c r="F191" s="47"/>
      <c r="G191" s="47">
        <v>5230.01</v>
      </c>
      <c r="H191" s="58" t="s">
        <v>580</v>
      </c>
      <c r="I191" s="48">
        <v>3778</v>
      </c>
      <c r="J191" s="47"/>
      <c r="K191" s="47"/>
      <c r="L191" s="47" t="str">
        <f>IF(0.14458*5230.01=0," ",TEXT(,ROUND((0.14458*5230.01*4.997),2)))</f>
        <v>3778.51</v>
      </c>
      <c r="M191" s="47"/>
      <c r="N191" s="47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 t="s">
        <v>581</v>
      </c>
      <c r="AG191" s="50" t="s">
        <v>174</v>
      </c>
      <c r="AH191" s="50"/>
      <c r="AI191" s="50">
        <f>0+0</f>
        <v>0</v>
      </c>
    </row>
    <row r="192" spans="1:35" ht="102" x14ac:dyDescent="0.2">
      <c r="A192" s="44">
        <v>129</v>
      </c>
      <c r="B192" s="45" t="s">
        <v>582</v>
      </c>
      <c r="C192" s="46" t="str">
        <f t="shared" ca="1" si="6"/>
        <v xml:space="preserve">Проводник заземляющий открыто по строительным основаниям: из круглой стали диаметром 12 мм
100 м
5106 руб. НР 81%=95%*0,85 от ФОТ (6304 руб.)
3278 руб.СП 52%=65%*0,8 от ФОТ (6304 руб.)
</v>
      </c>
      <c r="D192" s="44">
        <v>1.84</v>
      </c>
      <c r="E192" s="47" t="s">
        <v>583</v>
      </c>
      <c r="F192" s="47" t="s">
        <v>584</v>
      </c>
      <c r="G192" s="47">
        <v>105.21</v>
      </c>
      <c r="H192" s="58" t="s">
        <v>565</v>
      </c>
      <c r="I192" s="48">
        <v>7991</v>
      </c>
      <c r="J192" s="47">
        <v>6219</v>
      </c>
      <c r="K192" s="47" t="s">
        <v>585</v>
      </c>
      <c r="L192" s="47" t="str">
        <f>IF(1.84*105.21=0," ",TEXT(,ROUND((1.84*105.21*3.52),2)))</f>
        <v>681.42</v>
      </c>
      <c r="M192" s="47" t="s">
        <v>586</v>
      </c>
      <c r="N192" s="47" t="s">
        <v>587</v>
      </c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 t="s">
        <v>569</v>
      </c>
      <c r="AB192" s="50" t="s">
        <v>39</v>
      </c>
      <c r="AC192" s="50">
        <v>5106</v>
      </c>
      <c r="AD192" s="50">
        <v>3278</v>
      </c>
      <c r="AE192" s="50"/>
      <c r="AF192" s="50" t="s">
        <v>588</v>
      </c>
      <c r="AG192" s="50" t="s">
        <v>571</v>
      </c>
      <c r="AH192" s="50"/>
      <c r="AI192" s="50">
        <f>6219+85</f>
        <v>6304</v>
      </c>
    </row>
    <row r="193" spans="1:35" ht="63.75" x14ac:dyDescent="0.2">
      <c r="A193" s="44">
        <v>130</v>
      </c>
      <c r="B193" s="45" t="s">
        <v>589</v>
      </c>
      <c r="C193" s="46" t="str">
        <f t="shared" ca="1" si="6"/>
        <v xml:space="preserve">Сталь круглая углеродистая обыкновенного качества марки ВСт3пс5-1 диаметром: 16 мм
т
</v>
      </c>
      <c r="D193" s="44">
        <v>0.29071999999999998</v>
      </c>
      <c r="E193" s="47">
        <v>5230.01</v>
      </c>
      <c r="F193" s="47"/>
      <c r="G193" s="47">
        <v>5230.01</v>
      </c>
      <c r="H193" s="58" t="s">
        <v>590</v>
      </c>
      <c r="I193" s="48">
        <v>7395</v>
      </c>
      <c r="J193" s="47"/>
      <c r="K193" s="47"/>
      <c r="L193" s="47" t="str">
        <f>IF(0.29072*5230.01=0," ",TEXT(,ROUND((0.29072*5230.01*4.865),2)))</f>
        <v>7397.08</v>
      </c>
      <c r="M193" s="47"/>
      <c r="N193" s="47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 t="s">
        <v>591</v>
      </c>
      <c r="AG193" s="50" t="s">
        <v>174</v>
      </c>
      <c r="AH193" s="50"/>
      <c r="AI193" s="50">
        <f>0+0</f>
        <v>0</v>
      </c>
    </row>
    <row r="194" spans="1:35" ht="89.25" x14ac:dyDescent="0.2">
      <c r="A194" s="44">
        <v>131</v>
      </c>
      <c r="B194" s="45" t="s">
        <v>592</v>
      </c>
      <c r="C194" s="46" t="str">
        <f t="shared" ca="1" si="6"/>
        <v xml:space="preserve">Заземлитель вертикальный из круглой стали диаметром: 16 мм
10 шт.
438 руб. НР 81%=95%*0,85 от ФОТ (541 руб.)
281 руб.СП 52%=65%*0,8 от ФОТ (541 руб.)
</v>
      </c>
      <c r="D194" s="44">
        <v>0.4</v>
      </c>
      <c r="E194" s="47" t="s">
        <v>593</v>
      </c>
      <c r="F194" s="47" t="s">
        <v>594</v>
      </c>
      <c r="G194" s="47">
        <v>25.46</v>
      </c>
      <c r="H194" s="58" t="s">
        <v>595</v>
      </c>
      <c r="I194" s="48">
        <v>747</v>
      </c>
      <c r="J194" s="47">
        <v>524</v>
      </c>
      <c r="K194" s="47" t="s">
        <v>596</v>
      </c>
      <c r="L194" s="47" t="str">
        <f>IF(0.4*25.46=0," ",TEXT(,ROUND((0.4*25.46*3.6),2)))</f>
        <v>36.66</v>
      </c>
      <c r="M194" s="47" t="s">
        <v>597</v>
      </c>
      <c r="N194" s="47" t="s">
        <v>598</v>
      </c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 t="s">
        <v>569</v>
      </c>
      <c r="AB194" s="50" t="s">
        <v>39</v>
      </c>
      <c r="AC194" s="50">
        <v>438</v>
      </c>
      <c r="AD194" s="50">
        <v>281</v>
      </c>
      <c r="AE194" s="50"/>
      <c r="AF194" s="50" t="s">
        <v>599</v>
      </c>
      <c r="AG194" s="50" t="s">
        <v>600</v>
      </c>
      <c r="AH194" s="50"/>
      <c r="AI194" s="50">
        <f>524+17</f>
        <v>541</v>
      </c>
    </row>
    <row r="195" spans="1:35" ht="63.75" x14ac:dyDescent="0.2">
      <c r="A195" s="44">
        <v>132</v>
      </c>
      <c r="B195" s="45" t="s">
        <v>589</v>
      </c>
      <c r="C195" s="46" t="str">
        <f t="shared" ca="1" si="6"/>
        <v xml:space="preserve">Сталь круглая углеродистая обыкновенного качества марки ВСт3пс5-1 диаметром: 16 мм
т
</v>
      </c>
      <c r="D195" s="44">
        <v>6.3200000000000006E-2</v>
      </c>
      <c r="E195" s="47">
        <v>5230.01</v>
      </c>
      <c r="F195" s="47"/>
      <c r="G195" s="47">
        <v>5230.01</v>
      </c>
      <c r="H195" s="58" t="s">
        <v>590</v>
      </c>
      <c r="I195" s="48">
        <v>1610</v>
      </c>
      <c r="J195" s="47"/>
      <c r="K195" s="47"/>
      <c r="L195" s="47" t="str">
        <f>IF(0.0632*5230.01=0," ",TEXT(,ROUND((0.0632*5230.01*4.865),2)))</f>
        <v>1608.06</v>
      </c>
      <c r="M195" s="47"/>
      <c r="N195" s="47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 t="s">
        <v>591</v>
      </c>
      <c r="AG195" s="50" t="s">
        <v>174</v>
      </c>
      <c r="AH195" s="50"/>
      <c r="AI195" s="50">
        <f>0+0</f>
        <v>0</v>
      </c>
    </row>
    <row r="196" spans="1:35" ht="102" x14ac:dyDescent="0.2">
      <c r="A196" s="44">
        <v>133</v>
      </c>
      <c r="B196" s="45" t="s">
        <v>601</v>
      </c>
      <c r="C196" s="46" t="str">
        <f t="shared" ca="1" si="6"/>
        <v xml:space="preserve">Проводник заземляющий открыто по строительным основаниям: из полосовой стали сечением 160 мм2
100 м
288 руб. НР 81%=95%*0,85 от ФОТ (355 руб.)
185 руб.СП 52%=65%*0,8 от ФОТ (355 руб.)
</v>
      </c>
      <c r="D196" s="44">
        <v>0.104</v>
      </c>
      <c r="E196" s="47" t="s">
        <v>602</v>
      </c>
      <c r="F196" s="47" t="s">
        <v>603</v>
      </c>
      <c r="G196" s="47">
        <v>106.57</v>
      </c>
      <c r="H196" s="58" t="s">
        <v>565</v>
      </c>
      <c r="I196" s="48">
        <v>471</v>
      </c>
      <c r="J196" s="47">
        <v>355</v>
      </c>
      <c r="K196" s="47">
        <v>77</v>
      </c>
      <c r="L196" s="47" t="str">
        <f>IF(0.104*106.57=0," ",TEXT(,ROUND((0.104*106.57*3.52),2)))</f>
        <v>39.01</v>
      </c>
      <c r="M196" s="47" t="s">
        <v>604</v>
      </c>
      <c r="N196" s="47" t="s">
        <v>605</v>
      </c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 t="s">
        <v>569</v>
      </c>
      <c r="AB196" s="50" t="s">
        <v>39</v>
      </c>
      <c r="AC196" s="50">
        <v>288</v>
      </c>
      <c r="AD196" s="50">
        <v>185</v>
      </c>
      <c r="AE196" s="50"/>
      <c r="AF196" s="50" t="s">
        <v>606</v>
      </c>
      <c r="AG196" s="50" t="s">
        <v>571</v>
      </c>
      <c r="AH196" s="50"/>
      <c r="AI196" s="50">
        <f>355+0</f>
        <v>355</v>
      </c>
    </row>
    <row r="197" spans="1:35" ht="63.75" x14ac:dyDescent="0.2">
      <c r="A197" s="44">
        <v>134</v>
      </c>
      <c r="B197" s="45" t="s">
        <v>574</v>
      </c>
      <c r="C197" s="46" t="str">
        <f t="shared" ca="1" si="6"/>
        <v xml:space="preserve">Сталь листовая углеродистая обыкновенного качества марки ВСт3пс5 толщиной: 4-6 мм
т
</v>
      </c>
      <c r="D197" s="44">
        <v>1.6240000000000001E-2</v>
      </c>
      <c r="E197" s="47">
        <v>5763</v>
      </c>
      <c r="F197" s="47"/>
      <c r="G197" s="47">
        <v>5763</v>
      </c>
      <c r="H197" s="58" t="s">
        <v>576</v>
      </c>
      <c r="I197" s="48">
        <v>473</v>
      </c>
      <c r="J197" s="47"/>
      <c r="K197" s="47"/>
      <c r="L197" s="47" t="str">
        <f>IF(0.01624*5763=0," ",TEXT(,ROUND((0.01624*5763*5.035),2)))</f>
        <v>471.23</v>
      </c>
      <c r="M197" s="47"/>
      <c r="N197" s="47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 t="s">
        <v>577</v>
      </c>
      <c r="AG197" s="50" t="s">
        <v>174</v>
      </c>
      <c r="AH197" s="50"/>
      <c r="AI197" s="50">
        <f>0+0</f>
        <v>0</v>
      </c>
    </row>
    <row r="198" spans="1:35" ht="89.25" x14ac:dyDescent="0.2">
      <c r="A198" s="44">
        <v>135</v>
      </c>
      <c r="B198" s="45" t="s">
        <v>607</v>
      </c>
      <c r="C198" s="46" t="str">
        <f t="shared" ca="1" si="6"/>
        <v xml:space="preserve">Измерение сопротивления растеканию тока: заземлителя
1 измерение
576 руб. НР 55%=65%*0,85 от ФОТ (1048 руб.)
335 руб.СП 32%=40%*0,8 от ФОТ (1048 руб.)
</v>
      </c>
      <c r="D198" s="44">
        <v>4</v>
      </c>
      <c r="E198" s="47" t="s">
        <v>608</v>
      </c>
      <c r="F198" s="47"/>
      <c r="G198" s="47"/>
      <c r="H198" s="58" t="s">
        <v>609</v>
      </c>
      <c r="I198" s="48">
        <v>1048</v>
      </c>
      <c r="J198" s="47">
        <v>1048</v>
      </c>
      <c r="K198" s="47"/>
      <c r="L198" s="47" t="str">
        <f>IF(4*0=0," ",TEXT(,ROUND((4*0*1),2)))</f>
        <v xml:space="preserve"> </v>
      </c>
      <c r="M198" s="47">
        <v>1.22</v>
      </c>
      <c r="N198" s="47">
        <v>4.88</v>
      </c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 t="s">
        <v>610</v>
      </c>
      <c r="AB198" s="50" t="s">
        <v>611</v>
      </c>
      <c r="AC198" s="50">
        <v>576</v>
      </c>
      <c r="AD198" s="50">
        <v>335</v>
      </c>
      <c r="AE198" s="50"/>
      <c r="AF198" s="50" t="s">
        <v>612</v>
      </c>
      <c r="AG198" s="50" t="s">
        <v>613</v>
      </c>
      <c r="AH198" s="50"/>
      <c r="AI198" s="50">
        <f>1048+0</f>
        <v>1048</v>
      </c>
    </row>
    <row r="199" spans="1:35" ht="165.75" x14ac:dyDescent="0.2">
      <c r="A199" s="52">
        <v>136</v>
      </c>
      <c r="B199" s="53" t="s">
        <v>614</v>
      </c>
      <c r="C199" s="54" t="str">
        <f t="shared" ca="1" si="6"/>
        <v xml:space="preserve">Замена существующей антенны с демонтажом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
1 антенна
12985 руб. НР 78%=92%*0,85 от ФОТ (16647 руб.)
8656 руб.СП 52%=65%*0,8 от ФОТ (16647 руб.)
</v>
      </c>
      <c r="D199" s="52">
        <v>4</v>
      </c>
      <c r="E199" s="55" t="s">
        <v>615</v>
      </c>
      <c r="F199" s="55"/>
      <c r="G199" s="55">
        <v>4.93</v>
      </c>
      <c r="H199" s="56" t="s">
        <v>616</v>
      </c>
      <c r="I199" s="57">
        <v>16758</v>
      </c>
      <c r="J199" s="55">
        <v>16647</v>
      </c>
      <c r="K199" s="55"/>
      <c r="L199" s="55" t="str">
        <f>IF(4*4.93=0," ",TEXT(,ROUND((4*4.93*5.56),2)))</f>
        <v>109.64</v>
      </c>
      <c r="M199" s="55">
        <v>23.8</v>
      </c>
      <c r="N199" s="55">
        <v>95.2</v>
      </c>
      <c r="O199" s="49"/>
      <c r="P199" s="49"/>
      <c r="Q199" s="49"/>
      <c r="R199" s="49"/>
      <c r="S199" s="49"/>
      <c r="T199" s="50"/>
      <c r="U199" s="50"/>
      <c r="V199" s="50"/>
      <c r="W199" s="50"/>
      <c r="X199" s="50"/>
      <c r="Y199" s="50"/>
      <c r="Z199" s="50"/>
      <c r="AA199" s="50" t="s">
        <v>617</v>
      </c>
      <c r="AB199" s="50" t="s">
        <v>39</v>
      </c>
      <c r="AC199" s="50">
        <v>12985</v>
      </c>
      <c r="AD199" s="50">
        <v>8656</v>
      </c>
      <c r="AE199" s="50"/>
      <c r="AF199" s="50" t="s">
        <v>618</v>
      </c>
      <c r="AG199" s="50" t="s">
        <v>619</v>
      </c>
      <c r="AH199" s="50"/>
      <c r="AI199" s="50">
        <f>16647+0</f>
        <v>16647</v>
      </c>
    </row>
    <row r="200" spans="1:35" ht="25.5" x14ac:dyDescent="0.2">
      <c r="A200" s="72" t="s">
        <v>125</v>
      </c>
      <c r="B200" s="65"/>
      <c r="C200" s="65"/>
      <c r="D200" s="65"/>
      <c r="E200" s="65"/>
      <c r="F200" s="65"/>
      <c r="G200" s="65"/>
      <c r="H200" s="65"/>
      <c r="I200" s="48">
        <v>5699</v>
      </c>
      <c r="J200" s="47">
        <v>2159</v>
      </c>
      <c r="K200" s="47" t="s">
        <v>620</v>
      </c>
      <c r="L200" s="47">
        <v>3193</v>
      </c>
      <c r="M200" s="47"/>
      <c r="N200" s="47" t="s">
        <v>621</v>
      </c>
      <c r="O200" s="17"/>
      <c r="P200" s="18"/>
      <c r="Q200" s="17"/>
      <c r="R200" s="17"/>
      <c r="S200" s="17"/>
    </row>
    <row r="201" spans="1:35" ht="25.5" x14ac:dyDescent="0.2">
      <c r="A201" s="72" t="s">
        <v>128</v>
      </c>
      <c r="B201" s="65"/>
      <c r="C201" s="65"/>
      <c r="D201" s="65"/>
      <c r="E201" s="65"/>
      <c r="F201" s="65"/>
      <c r="G201" s="65"/>
      <c r="H201" s="65"/>
      <c r="I201" s="48">
        <v>53192</v>
      </c>
      <c r="J201" s="47">
        <v>36488</v>
      </c>
      <c r="K201" s="47" t="s">
        <v>622</v>
      </c>
      <c r="L201" s="47">
        <v>13751</v>
      </c>
      <c r="M201" s="47"/>
      <c r="N201" s="47" t="s">
        <v>621</v>
      </c>
      <c r="O201" s="17"/>
      <c r="P201" s="18"/>
      <c r="Q201" s="17"/>
      <c r="R201" s="17"/>
      <c r="S201" s="17"/>
    </row>
    <row r="202" spans="1:35" x14ac:dyDescent="0.2">
      <c r="A202" s="72" t="s">
        <v>130</v>
      </c>
      <c r="B202" s="65"/>
      <c r="C202" s="65"/>
      <c r="D202" s="65"/>
      <c r="E202" s="65"/>
      <c r="F202" s="65"/>
      <c r="G202" s="65"/>
      <c r="H202" s="65"/>
      <c r="I202" s="48">
        <v>28948</v>
      </c>
      <c r="J202" s="47"/>
      <c r="K202" s="47"/>
      <c r="L202" s="47"/>
      <c r="M202" s="47"/>
      <c r="N202" s="47"/>
      <c r="O202" s="17"/>
      <c r="P202" s="18"/>
      <c r="Q202" s="17"/>
      <c r="R202" s="17"/>
      <c r="S202" s="17"/>
    </row>
    <row r="203" spans="1:35" x14ac:dyDescent="0.2">
      <c r="A203" s="72" t="s">
        <v>131</v>
      </c>
      <c r="B203" s="65"/>
      <c r="C203" s="65"/>
      <c r="D203" s="65"/>
      <c r="E203" s="65"/>
      <c r="F203" s="65"/>
      <c r="G203" s="65"/>
      <c r="H203" s="65"/>
      <c r="I203" s="48">
        <v>18869</v>
      </c>
      <c r="J203" s="47"/>
      <c r="K203" s="47"/>
      <c r="L203" s="47"/>
      <c r="M203" s="47"/>
      <c r="N203" s="47"/>
      <c r="O203" s="17"/>
      <c r="P203" s="18"/>
      <c r="Q203" s="17"/>
      <c r="R203" s="17"/>
      <c r="S203" s="17"/>
    </row>
    <row r="204" spans="1:35" ht="25.5" x14ac:dyDescent="0.2">
      <c r="A204" s="68" t="s">
        <v>623</v>
      </c>
      <c r="B204" s="69"/>
      <c r="C204" s="69"/>
      <c r="D204" s="69"/>
      <c r="E204" s="69"/>
      <c r="F204" s="69"/>
      <c r="G204" s="69"/>
      <c r="H204" s="69"/>
      <c r="I204" s="59">
        <v>101009</v>
      </c>
      <c r="J204" s="60"/>
      <c r="K204" s="60"/>
      <c r="L204" s="60"/>
      <c r="M204" s="60"/>
      <c r="N204" s="60" t="s">
        <v>621</v>
      </c>
      <c r="O204" s="17"/>
      <c r="P204" s="18"/>
      <c r="Q204" s="17"/>
      <c r="R204" s="17"/>
      <c r="S204" s="17"/>
    </row>
    <row r="205" spans="1:35" ht="21" customHeight="1" x14ac:dyDescent="0.2">
      <c r="A205" s="70" t="s">
        <v>624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</row>
    <row r="206" spans="1:35" ht="76.5" x14ac:dyDescent="0.2">
      <c r="A206" s="44">
        <v>137</v>
      </c>
      <c r="B206" s="45" t="s">
        <v>625</v>
      </c>
      <c r="C206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206" s="44">
        <v>15</v>
      </c>
      <c r="E206" s="47" t="s">
        <v>626</v>
      </c>
      <c r="F206" s="47"/>
      <c r="G206" s="47"/>
      <c r="H206" s="58" t="s">
        <v>627</v>
      </c>
      <c r="I206" s="48">
        <v>645</v>
      </c>
      <c r="J206" s="47">
        <v>645</v>
      </c>
      <c r="K206" s="47"/>
      <c r="L206" s="47" t="str">
        <f>IF(15*0=0," ",TEXT(,ROUND((15*0*1),2)))</f>
        <v xml:space="preserve"> </v>
      </c>
      <c r="M206" s="47"/>
      <c r="N206" s="47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 t="s">
        <v>628</v>
      </c>
      <c r="AB206" s="50" t="s">
        <v>629</v>
      </c>
      <c r="AC206" s="50"/>
      <c r="AD206" s="50"/>
      <c r="AE206" s="50"/>
      <c r="AF206" s="50" t="s">
        <v>630</v>
      </c>
      <c r="AG206" s="50" t="s">
        <v>631</v>
      </c>
      <c r="AH206" s="50"/>
      <c r="AI206" s="50">
        <f>645+0</f>
        <v>645</v>
      </c>
    </row>
    <row r="207" spans="1:35" ht="76.5" x14ac:dyDescent="0.2">
      <c r="A207" s="44">
        <v>138</v>
      </c>
      <c r="B207" s="45" t="s">
        <v>632</v>
      </c>
      <c r="C207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экскаваторами емкостью ковша до 0,5 м3
1 т груза
</v>
      </c>
      <c r="D207" s="44">
        <v>131</v>
      </c>
      <c r="E207" s="47">
        <v>3.28</v>
      </c>
      <c r="F207" s="47">
        <v>3.28</v>
      </c>
      <c r="G207" s="47"/>
      <c r="H207" s="58" t="s">
        <v>633</v>
      </c>
      <c r="I207" s="48">
        <v>4988</v>
      </c>
      <c r="J207" s="47"/>
      <c r="K207" s="47">
        <v>4988</v>
      </c>
      <c r="L207" s="47" t="str">
        <f>IF(131*0=0," ",TEXT(,ROUND((131*0*1),2)))</f>
        <v xml:space="preserve"> </v>
      </c>
      <c r="M207" s="47"/>
      <c r="N207" s="47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 t="s">
        <v>628</v>
      </c>
      <c r="AB207" s="50" t="s">
        <v>629</v>
      </c>
      <c r="AC207" s="50"/>
      <c r="AD207" s="50"/>
      <c r="AE207" s="50"/>
      <c r="AF207" s="50" t="s">
        <v>634</v>
      </c>
      <c r="AG207" s="50" t="s">
        <v>631</v>
      </c>
      <c r="AH207" s="50"/>
      <c r="AI207" s="50">
        <f>0+0</f>
        <v>0</v>
      </c>
    </row>
    <row r="208" spans="1:35" ht="86.25" customHeight="1" x14ac:dyDescent="0.2">
      <c r="A208" s="52">
        <v>139</v>
      </c>
      <c r="B208" s="53" t="s">
        <v>635</v>
      </c>
      <c r="C208" s="54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208" s="52">
        <v>146</v>
      </c>
      <c r="E208" s="55">
        <v>13.38</v>
      </c>
      <c r="F208" s="55">
        <v>13.38</v>
      </c>
      <c r="G208" s="55"/>
      <c r="H208" s="56" t="s">
        <v>636</v>
      </c>
      <c r="I208" s="57">
        <v>19218</v>
      </c>
      <c r="J208" s="55"/>
      <c r="K208" s="55">
        <v>19218</v>
      </c>
      <c r="L208" s="55" t="str">
        <f>IF(146*0=0," ",TEXT(,ROUND((146*0*1),2)))</f>
        <v xml:space="preserve"> </v>
      </c>
      <c r="M208" s="55"/>
      <c r="N208" s="55"/>
      <c r="O208" s="49"/>
      <c r="P208" s="49"/>
      <c r="Q208" s="49"/>
      <c r="R208" s="49"/>
      <c r="S208" s="49"/>
      <c r="T208" s="50"/>
      <c r="U208" s="50"/>
      <c r="V208" s="50"/>
      <c r="W208" s="50"/>
      <c r="X208" s="50"/>
      <c r="Y208" s="50"/>
      <c r="Z208" s="50"/>
      <c r="AA208" s="50" t="s">
        <v>167</v>
      </c>
      <c r="AB208" s="50" t="s">
        <v>168</v>
      </c>
      <c r="AC208" s="50"/>
      <c r="AD208" s="50"/>
      <c r="AE208" s="50"/>
      <c r="AF208" s="50" t="s">
        <v>637</v>
      </c>
      <c r="AG208" s="50" t="s">
        <v>631</v>
      </c>
      <c r="AH208" s="50"/>
      <c r="AI208" s="50">
        <f>0+0</f>
        <v>0</v>
      </c>
    </row>
    <row r="209" spans="1:19" x14ac:dyDescent="0.2">
      <c r="A209" s="72" t="s">
        <v>125</v>
      </c>
      <c r="B209" s="65"/>
      <c r="C209" s="65"/>
      <c r="D209" s="65"/>
      <c r="E209" s="65"/>
      <c r="F209" s="65"/>
      <c r="G209" s="65"/>
      <c r="H209" s="65"/>
      <c r="I209" s="48">
        <v>3028</v>
      </c>
      <c r="J209" s="47">
        <v>645</v>
      </c>
      <c r="K209" s="47">
        <v>2383</v>
      </c>
      <c r="L209" s="47"/>
      <c r="M209" s="47"/>
      <c r="N209" s="47"/>
      <c r="O209" s="17"/>
      <c r="P209" s="18"/>
      <c r="Q209" s="17"/>
      <c r="R209" s="17"/>
      <c r="S209" s="17"/>
    </row>
    <row r="210" spans="1:19" x14ac:dyDescent="0.2">
      <c r="A210" s="72" t="s">
        <v>128</v>
      </c>
      <c r="B210" s="65"/>
      <c r="C210" s="65"/>
      <c r="D210" s="65"/>
      <c r="E210" s="65"/>
      <c r="F210" s="65"/>
      <c r="G210" s="65"/>
      <c r="H210" s="65"/>
      <c r="I210" s="48">
        <v>24851</v>
      </c>
      <c r="J210" s="47">
        <v>645</v>
      </c>
      <c r="K210" s="47">
        <v>24206</v>
      </c>
      <c r="L210" s="47"/>
      <c r="M210" s="47"/>
      <c r="N210" s="47"/>
      <c r="O210" s="17"/>
      <c r="P210" s="18"/>
      <c r="Q210" s="17"/>
      <c r="R210" s="17"/>
      <c r="S210" s="17"/>
    </row>
    <row r="211" spans="1:19" x14ac:dyDescent="0.2">
      <c r="A211" s="68" t="s">
        <v>638</v>
      </c>
      <c r="B211" s="69"/>
      <c r="C211" s="69"/>
      <c r="D211" s="69"/>
      <c r="E211" s="69"/>
      <c r="F211" s="69"/>
      <c r="G211" s="69"/>
      <c r="H211" s="69"/>
      <c r="I211" s="59">
        <v>24851</v>
      </c>
      <c r="J211" s="60"/>
      <c r="K211" s="60"/>
      <c r="L211" s="55"/>
      <c r="M211" s="55"/>
      <c r="N211" s="55"/>
      <c r="O211" s="17"/>
      <c r="P211" s="18"/>
      <c r="Q211" s="17"/>
      <c r="R211" s="17"/>
      <c r="S211" s="17"/>
    </row>
    <row r="212" spans="1:19" ht="25.5" x14ac:dyDescent="0.2">
      <c r="A212" s="64" t="s">
        <v>639</v>
      </c>
      <c r="B212" s="65"/>
      <c r="C212" s="65"/>
      <c r="D212" s="65"/>
      <c r="E212" s="65"/>
      <c r="F212" s="65"/>
      <c r="G212" s="65"/>
      <c r="H212" s="65"/>
      <c r="I212" s="62">
        <v>650048</v>
      </c>
      <c r="J212" s="62">
        <v>49246</v>
      </c>
      <c r="K212" s="62" t="s">
        <v>640</v>
      </c>
      <c r="L212" s="62">
        <v>586526</v>
      </c>
      <c r="M212" s="62"/>
      <c r="N212" s="62" t="s">
        <v>641</v>
      </c>
      <c r="O212" s="17"/>
      <c r="P212" s="18"/>
      <c r="Q212" s="17"/>
      <c r="R212" s="17"/>
      <c r="S212" s="17"/>
    </row>
    <row r="213" spans="1:19" ht="25.5" x14ac:dyDescent="0.2">
      <c r="A213" s="64" t="s">
        <v>642</v>
      </c>
      <c r="B213" s="65"/>
      <c r="C213" s="65"/>
      <c r="D213" s="65"/>
      <c r="E213" s="65"/>
      <c r="F213" s="65"/>
      <c r="G213" s="65"/>
      <c r="H213" s="65"/>
      <c r="I213" s="62">
        <v>657752</v>
      </c>
      <c r="J213" s="62">
        <v>54653</v>
      </c>
      <c r="K213" s="62" t="s">
        <v>643</v>
      </c>
      <c r="L213" s="62">
        <v>586526</v>
      </c>
      <c r="M213" s="62"/>
      <c r="N213" s="62" t="s">
        <v>644</v>
      </c>
      <c r="O213" s="17"/>
      <c r="P213" s="18"/>
      <c r="Q213" s="17"/>
      <c r="R213" s="17"/>
      <c r="S213" s="17"/>
    </row>
    <row r="214" spans="1:19" ht="25.5" x14ac:dyDescent="0.2">
      <c r="A214" s="64" t="s">
        <v>645</v>
      </c>
      <c r="B214" s="65"/>
      <c r="C214" s="65"/>
      <c r="D214" s="65"/>
      <c r="E214" s="65"/>
      <c r="F214" s="65"/>
      <c r="G214" s="65"/>
      <c r="H214" s="65"/>
      <c r="I214" s="62">
        <v>3891897</v>
      </c>
      <c r="J214" s="62">
        <v>913383</v>
      </c>
      <c r="K214" s="62" t="s">
        <v>646</v>
      </c>
      <c r="L214" s="62">
        <v>2796170</v>
      </c>
      <c r="M214" s="62"/>
      <c r="N214" s="62" t="s">
        <v>644</v>
      </c>
      <c r="O214" s="17"/>
      <c r="P214" s="18"/>
      <c r="Q214" s="17"/>
      <c r="R214" s="17"/>
      <c r="S214" s="17"/>
    </row>
    <row r="215" spans="1:19" x14ac:dyDescent="0.2">
      <c r="A215" s="64" t="s">
        <v>130</v>
      </c>
      <c r="B215" s="65"/>
      <c r="C215" s="65"/>
      <c r="D215" s="65"/>
      <c r="E215" s="65"/>
      <c r="F215" s="65"/>
      <c r="G215" s="65"/>
      <c r="H215" s="65"/>
      <c r="I215" s="62">
        <v>808959</v>
      </c>
      <c r="J215" s="62"/>
      <c r="K215" s="62"/>
      <c r="L215" s="62"/>
      <c r="M215" s="62"/>
      <c r="N215" s="62"/>
      <c r="O215" s="17"/>
      <c r="P215" s="18"/>
      <c r="Q215" s="17"/>
      <c r="R215" s="17"/>
      <c r="S215" s="17"/>
    </row>
    <row r="216" spans="1:19" x14ac:dyDescent="0.2">
      <c r="A216" s="64" t="s">
        <v>131</v>
      </c>
      <c r="B216" s="65"/>
      <c r="C216" s="65"/>
      <c r="D216" s="65"/>
      <c r="E216" s="65"/>
      <c r="F216" s="65"/>
      <c r="G216" s="65"/>
      <c r="H216" s="65"/>
      <c r="I216" s="62">
        <v>426270</v>
      </c>
      <c r="J216" s="62"/>
      <c r="K216" s="62"/>
      <c r="L216" s="62"/>
      <c r="M216" s="62"/>
      <c r="N216" s="62"/>
      <c r="O216" s="17"/>
      <c r="P216" s="18"/>
      <c r="Q216" s="17"/>
      <c r="R216" s="17"/>
      <c r="S216" s="17"/>
    </row>
    <row r="217" spans="1:19" x14ac:dyDescent="0.2">
      <c r="A217" s="66" t="s">
        <v>647</v>
      </c>
      <c r="B217" s="67"/>
      <c r="C217" s="67"/>
      <c r="D217" s="67"/>
      <c r="E217" s="67"/>
      <c r="F217" s="67"/>
      <c r="G217" s="67"/>
      <c r="H217" s="67"/>
      <c r="I217" s="63"/>
      <c r="J217" s="63"/>
      <c r="K217" s="63"/>
      <c r="L217" s="63"/>
      <c r="M217" s="63"/>
      <c r="N217" s="63"/>
      <c r="O217" s="17"/>
      <c r="P217" s="18"/>
      <c r="Q217" s="17"/>
      <c r="R217" s="17"/>
      <c r="S217" s="17"/>
    </row>
    <row r="218" spans="1:19" ht="25.5" x14ac:dyDescent="0.2">
      <c r="A218" s="64" t="s">
        <v>648</v>
      </c>
      <c r="B218" s="65"/>
      <c r="C218" s="65"/>
      <c r="D218" s="65"/>
      <c r="E218" s="65"/>
      <c r="F218" s="65"/>
      <c r="G218" s="65"/>
      <c r="H218" s="65"/>
      <c r="I218" s="62">
        <v>5026117</v>
      </c>
      <c r="J218" s="62"/>
      <c r="K218" s="62"/>
      <c r="L218" s="62"/>
      <c r="M218" s="62"/>
      <c r="N218" s="62" t="s">
        <v>649</v>
      </c>
      <c r="O218" s="17"/>
      <c r="P218" s="18"/>
      <c r="Q218" s="17"/>
      <c r="R218" s="17"/>
      <c r="S218" s="17"/>
    </row>
    <row r="219" spans="1:19" ht="25.5" x14ac:dyDescent="0.2">
      <c r="A219" s="64" t="s">
        <v>650</v>
      </c>
      <c r="B219" s="65"/>
      <c r="C219" s="65"/>
      <c r="D219" s="65"/>
      <c r="E219" s="65"/>
      <c r="F219" s="65"/>
      <c r="G219" s="65"/>
      <c r="H219" s="65"/>
      <c r="I219" s="62">
        <v>99050</v>
      </c>
      <c r="J219" s="62"/>
      <c r="K219" s="62"/>
      <c r="L219" s="62"/>
      <c r="M219" s="62"/>
      <c r="N219" s="62" t="s">
        <v>651</v>
      </c>
      <c r="O219" s="17"/>
      <c r="P219" s="18"/>
      <c r="Q219" s="17"/>
      <c r="R219" s="17"/>
      <c r="S219" s="17"/>
    </row>
    <row r="220" spans="1:19" x14ac:dyDescent="0.2">
      <c r="A220" s="64" t="s">
        <v>652</v>
      </c>
      <c r="B220" s="65"/>
      <c r="C220" s="65"/>
      <c r="D220" s="65"/>
      <c r="E220" s="65"/>
      <c r="F220" s="65"/>
      <c r="G220" s="65"/>
      <c r="H220" s="65"/>
      <c r="I220" s="62">
        <v>1959</v>
      </c>
      <c r="J220" s="62"/>
      <c r="K220" s="62"/>
      <c r="L220" s="62"/>
      <c r="M220" s="62"/>
      <c r="N220" s="62">
        <v>4.88</v>
      </c>
      <c r="O220" s="17"/>
      <c r="P220" s="18"/>
      <c r="Q220" s="17"/>
      <c r="R220" s="17"/>
      <c r="S220" s="17"/>
    </row>
    <row r="221" spans="1:19" ht="25.5" x14ac:dyDescent="0.2">
      <c r="A221" s="64" t="s">
        <v>653</v>
      </c>
      <c r="B221" s="65"/>
      <c r="C221" s="65"/>
      <c r="D221" s="65"/>
      <c r="E221" s="65"/>
      <c r="F221" s="65"/>
      <c r="G221" s="65"/>
      <c r="H221" s="65"/>
      <c r="I221" s="62">
        <v>5127126</v>
      </c>
      <c r="J221" s="62"/>
      <c r="K221" s="62"/>
      <c r="L221" s="62"/>
      <c r="M221" s="62"/>
      <c r="N221" s="62" t="s">
        <v>644</v>
      </c>
      <c r="O221" s="17"/>
      <c r="P221" s="18"/>
      <c r="Q221" s="17"/>
      <c r="R221" s="17"/>
      <c r="S221" s="17"/>
    </row>
    <row r="222" spans="1:19" x14ac:dyDescent="0.2">
      <c r="A222" s="64" t="s">
        <v>654</v>
      </c>
      <c r="B222" s="65"/>
      <c r="C222" s="65"/>
      <c r="D222" s="65"/>
      <c r="E222" s="65"/>
      <c r="F222" s="65"/>
      <c r="G222" s="65"/>
      <c r="H222" s="65"/>
      <c r="I222" s="62"/>
      <c r="J222" s="62"/>
      <c r="K222" s="62"/>
      <c r="L222" s="62"/>
      <c r="M222" s="62"/>
      <c r="N222" s="62"/>
      <c r="O222" s="17"/>
      <c r="P222" s="18"/>
      <c r="Q222" s="17"/>
      <c r="R222" s="17"/>
      <c r="S222" s="17"/>
    </row>
    <row r="223" spans="1:19" x14ac:dyDescent="0.2">
      <c r="A223" s="64" t="s">
        <v>655</v>
      </c>
      <c r="B223" s="65"/>
      <c r="C223" s="65"/>
      <c r="D223" s="65"/>
      <c r="E223" s="65"/>
      <c r="F223" s="65"/>
      <c r="G223" s="65"/>
      <c r="H223" s="65"/>
      <c r="I223" s="62">
        <v>2796170</v>
      </c>
      <c r="J223" s="62"/>
      <c r="K223" s="62"/>
      <c r="L223" s="62"/>
      <c r="M223" s="62"/>
      <c r="N223" s="62"/>
      <c r="O223" s="17"/>
      <c r="P223" s="18"/>
      <c r="Q223" s="17"/>
      <c r="R223" s="17"/>
      <c r="S223" s="17"/>
    </row>
    <row r="224" spans="1:19" x14ac:dyDescent="0.2">
      <c r="A224" s="64" t="s">
        <v>656</v>
      </c>
      <c r="B224" s="65"/>
      <c r="C224" s="65"/>
      <c r="D224" s="65"/>
      <c r="E224" s="65"/>
      <c r="F224" s="65"/>
      <c r="G224" s="65"/>
      <c r="H224" s="65"/>
      <c r="I224" s="62">
        <v>182349</v>
      </c>
      <c r="J224" s="62"/>
      <c r="K224" s="62"/>
      <c r="L224" s="62"/>
      <c r="M224" s="62"/>
      <c r="N224" s="62"/>
      <c r="O224" s="17"/>
      <c r="P224" s="18"/>
      <c r="Q224" s="17"/>
      <c r="R224" s="17"/>
      <c r="S224" s="17"/>
    </row>
    <row r="225" spans="1:19" x14ac:dyDescent="0.2">
      <c r="A225" s="64" t="s">
        <v>657</v>
      </c>
      <c r="B225" s="65"/>
      <c r="C225" s="65"/>
      <c r="D225" s="65"/>
      <c r="E225" s="65"/>
      <c r="F225" s="65"/>
      <c r="G225" s="65"/>
      <c r="H225" s="65"/>
      <c r="I225" s="62">
        <v>932330</v>
      </c>
      <c r="J225" s="62"/>
      <c r="K225" s="62"/>
      <c r="L225" s="62"/>
      <c r="M225" s="62"/>
      <c r="N225" s="62"/>
      <c r="O225" s="17"/>
      <c r="P225" s="18"/>
      <c r="Q225" s="17"/>
      <c r="R225" s="17"/>
      <c r="S225" s="17"/>
    </row>
    <row r="226" spans="1:19" x14ac:dyDescent="0.2">
      <c r="A226" s="64" t="s">
        <v>658</v>
      </c>
      <c r="B226" s="65"/>
      <c r="C226" s="65"/>
      <c r="D226" s="65"/>
      <c r="E226" s="65"/>
      <c r="F226" s="65"/>
      <c r="G226" s="65"/>
      <c r="H226" s="65"/>
      <c r="I226" s="62">
        <v>808959</v>
      </c>
      <c r="J226" s="62"/>
      <c r="K226" s="62"/>
      <c r="L226" s="62"/>
      <c r="M226" s="62"/>
      <c r="N226" s="62"/>
      <c r="O226" s="17"/>
      <c r="P226" s="18"/>
      <c r="Q226" s="17"/>
      <c r="R226" s="17"/>
      <c r="S226" s="17"/>
    </row>
    <row r="227" spans="1:19" x14ac:dyDescent="0.2">
      <c r="A227" s="64" t="s">
        <v>659</v>
      </c>
      <c r="B227" s="65"/>
      <c r="C227" s="65"/>
      <c r="D227" s="65"/>
      <c r="E227" s="65"/>
      <c r="F227" s="65"/>
      <c r="G227" s="65"/>
      <c r="H227" s="65"/>
      <c r="I227" s="62">
        <v>426270</v>
      </c>
      <c r="J227" s="62"/>
      <c r="K227" s="62"/>
      <c r="L227" s="62"/>
      <c r="M227" s="62"/>
      <c r="N227" s="62"/>
      <c r="O227" s="17"/>
      <c r="P227" s="18"/>
      <c r="Q227" s="17"/>
      <c r="R227" s="17"/>
      <c r="S227" s="17"/>
    </row>
    <row r="228" spans="1:19" ht="25.5" x14ac:dyDescent="0.2">
      <c r="A228" s="66" t="s">
        <v>660</v>
      </c>
      <c r="B228" s="67"/>
      <c r="C228" s="67"/>
      <c r="D228" s="67"/>
      <c r="E228" s="67"/>
      <c r="F228" s="67"/>
      <c r="G228" s="67"/>
      <c r="H228" s="67"/>
      <c r="I228" s="63">
        <v>5127126</v>
      </c>
      <c r="J228" s="63"/>
      <c r="K228" s="63"/>
      <c r="L228" s="63"/>
      <c r="M228" s="63"/>
      <c r="N228" s="63" t="s">
        <v>644</v>
      </c>
      <c r="O228" s="17"/>
      <c r="P228" s="18"/>
      <c r="Q228" s="17"/>
      <c r="R228" s="17"/>
      <c r="S228" s="17"/>
    </row>
    <row r="229" spans="1:19" x14ac:dyDescent="0.2">
      <c r="A229" s="16"/>
      <c r="B229" s="36"/>
      <c r="C229" s="36"/>
      <c r="D229" s="16"/>
      <c r="E229" s="33"/>
      <c r="F229" s="33"/>
      <c r="G229" s="33"/>
      <c r="H229" s="33"/>
      <c r="I229" s="37"/>
      <c r="J229" s="33"/>
      <c r="K229" s="33"/>
      <c r="L229" s="33"/>
      <c r="M229" s="33"/>
      <c r="O229" s="39"/>
      <c r="P229" s="39"/>
      <c r="Q229" s="39"/>
      <c r="R229" s="39"/>
      <c r="S229" s="39"/>
    </row>
    <row r="230" spans="1:19" x14ac:dyDescent="0.2">
      <c r="A230" s="16"/>
      <c r="B230" s="36"/>
      <c r="C230" s="36"/>
      <c r="D230" s="16"/>
      <c r="E230" s="33"/>
      <c r="F230" s="33"/>
      <c r="G230" s="33"/>
      <c r="H230" s="33"/>
      <c r="I230" s="37"/>
      <c r="J230" s="33"/>
      <c r="K230" s="33"/>
      <c r="L230" s="33"/>
      <c r="M230" s="33"/>
    </row>
    <row r="231" spans="1:19" x14ac:dyDescent="0.2">
      <c r="A231" s="16"/>
      <c r="B231" s="36"/>
      <c r="C231" s="38" t="s">
        <v>668</v>
      </c>
      <c r="D231" s="16"/>
      <c r="E231" s="33"/>
      <c r="F231" s="38" t="s">
        <v>25</v>
      </c>
      <c r="G231" s="38"/>
      <c r="H231" s="38"/>
      <c r="I231" s="33"/>
      <c r="J231" s="33"/>
      <c r="K231" s="33"/>
      <c r="L231" s="33"/>
      <c r="M231" s="33"/>
    </row>
  </sheetData>
  <mergeCells count="90">
    <mergeCell ref="J11:N13"/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71:H71"/>
    <mergeCell ref="A20:AI20"/>
    <mergeCell ref="A33:H33"/>
    <mergeCell ref="A34:H34"/>
    <mergeCell ref="A35:H35"/>
    <mergeCell ref="A36:H36"/>
    <mergeCell ref="A37:H37"/>
    <mergeCell ref="A38:AI38"/>
    <mergeCell ref="A67:H67"/>
    <mergeCell ref="A68:H68"/>
    <mergeCell ref="A69:H69"/>
    <mergeCell ref="A70:H70"/>
    <mergeCell ref="A130:H130"/>
    <mergeCell ref="A72:H72"/>
    <mergeCell ref="A73:H73"/>
    <mergeCell ref="A74:H74"/>
    <mergeCell ref="A75:AI75"/>
    <mergeCell ref="A123:H123"/>
    <mergeCell ref="A124:H124"/>
    <mergeCell ref="A125:H125"/>
    <mergeCell ref="A126:H126"/>
    <mergeCell ref="A127:H127"/>
    <mergeCell ref="A128:H128"/>
    <mergeCell ref="A129:H129"/>
    <mergeCell ref="A179:H179"/>
    <mergeCell ref="A131:AI131"/>
    <mergeCell ref="A147:AI147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A167:AI167"/>
    <mergeCell ref="A203:H203"/>
    <mergeCell ref="A180:H180"/>
    <mergeCell ref="A181:H181"/>
    <mergeCell ref="A182:H182"/>
    <mergeCell ref="A183:H183"/>
    <mergeCell ref="A184:H184"/>
    <mergeCell ref="A185:H185"/>
    <mergeCell ref="A186:H186"/>
    <mergeCell ref="A187:AI187"/>
    <mergeCell ref="A200:H200"/>
    <mergeCell ref="A201:H201"/>
    <mergeCell ref="A202:H202"/>
    <mergeCell ref="A218:H218"/>
    <mergeCell ref="A204:H204"/>
    <mergeCell ref="A205:AI205"/>
    <mergeCell ref="A209:H209"/>
    <mergeCell ref="A210:H210"/>
    <mergeCell ref="A211:H211"/>
    <mergeCell ref="A212:H212"/>
    <mergeCell ref="A213:H213"/>
    <mergeCell ref="A214:H214"/>
    <mergeCell ref="A215:H215"/>
    <mergeCell ref="A216:H216"/>
    <mergeCell ref="A217:H217"/>
    <mergeCell ref="A225:H225"/>
    <mergeCell ref="A226:H226"/>
    <mergeCell ref="A227:H227"/>
    <mergeCell ref="A228:H228"/>
    <mergeCell ref="A219:H219"/>
    <mergeCell ref="A220:H220"/>
    <mergeCell ref="A221:H221"/>
    <mergeCell ref="A222:H222"/>
    <mergeCell ref="A223:H223"/>
    <mergeCell ref="A224:H224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2015-12-30T02:44:30Z</cp:lastPrinted>
  <dcterms:created xsi:type="dcterms:W3CDTF">2003-01-28T12:33:10Z</dcterms:created>
  <dcterms:modified xsi:type="dcterms:W3CDTF">2016-02-18T04:30:58Z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