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153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53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136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36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36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36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136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136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<sst xmlns="http://schemas.openxmlformats.org/spreadsheetml/2006/main" count="760" uniqueCount="676">
  <si>
    <t>ФЕР09-03-029-01
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</si>
  <si>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</si>
  <si>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1303,28
349,92</t>
  </si>
  <si>
    <t>864,86
95,31</t>
  </si>
  <si>
    <t xml:space="preserve">9.35 Монтаж лестниц прямолинейных и криволинейных, пожарных с ограждением: ОЗП=16,45; ЭМ=10,28; ЗПМ=16,45; МАТ=5,25
 </t>
  </si>
  <si>
    <t>802
148</t>
  </si>
  <si>
    <t>37,2255
7,05</t>
  </si>
  <si>
    <t>3,35
0,63</t>
  </si>
  <si>
    <t>ФССЦ-201-0777
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</si>
  <si>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</si>
  <si>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МАТ=7,691
 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</si>
  <si>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</si>
  <si>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</si>
  <si>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658,01
79,9</t>
  </si>
  <si>
    <t>15,55
0,25</t>
  </si>
  <si>
    <t xml:space="preserve">13.100 Окраска металлических огрунтованных поверхностей: эмалью ПФ-115: ОЗП=16,45; ЭМ=10,62; ЗПМ=16,45; МАТ=4,94
 </t>
  </si>
  <si>
    <t>8,809
0,025</t>
  </si>
  <si>
    <t>ФЕР12-01-012-01
--------------------
Приказ Минстроя РФ от 30.01.14 №31/пр</t>
  </si>
  <si>
    <t xml:space="preserve">Устройство переходного мостика,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</si>
  <si>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3170,1
67,97</t>
  </si>
  <si>
    <t>69,23
4,9</t>
  </si>
  <si>
    <t xml:space="preserve">12.29. Ограждение кровель перилами: ОЗП=16,45; ЭМ=9,92; ЗПМ=16,45; МАТ=7,67
 </t>
  </si>
  <si>
    <t>7,6705
0,3625</t>
  </si>
  <si>
    <t>0,77
0,04</t>
  </si>
  <si>
    <t>Металлпрофиль</t>
  </si>
  <si>
    <t xml:space="preserve">Переходный мостик 2500/1,18/5,58, шт
 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</si>
  <si>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</si>
  <si>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218
33</t>
  </si>
  <si>
    <t>2,48
0,12</t>
  </si>
  <si>
    <t>ФССЦ-509-0801
--------------------
Приказ Минстроя России от 12.11.14 №703/пр</t>
  </si>
  <si>
    <t xml:space="preserve">Трос стальной, м
 </t>
  </si>
  <si>
    <t xml:space="preserve">Трос стальной; МАТ=6,918
 </t>
  </si>
  <si>
    <t>ФССЦ-509-0125
--------------------
Приказ Минстроя России от 12.11.14 №703/пр</t>
  </si>
  <si>
    <t xml:space="preserve">Анкер тросовый, 100 шт.
 </t>
  </si>
  <si>
    <t xml:space="preserve">Анкер тросовой; МАТ=3,052
 </t>
  </si>
  <si>
    <t>744
82</t>
  </si>
  <si>
    <t>8,35
0,39</t>
  </si>
  <si>
    <t xml:space="preserve">Добавить до проектных данных:Конструктивные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</si>
  <si>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>ФЕР10-01-023-01
--------------------
Приказ Минстроя РФ от 30.01.14 №31/пр</t>
  </si>
  <si>
    <t xml:space="preserve">Укладка ходовых досок, 100 м ходов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</si>
  <si>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1059,33
36,62</t>
  </si>
  <si>
    <t>15,56
1,35</t>
  </si>
  <si>
    <t xml:space="preserve">10.54. Укладка ходовых досок: ОЗП=16,45; ЭМ=10,88; ЗПМ=16,45; МАТ=5,34
 </t>
  </si>
  <si>
    <t>152
16</t>
  </si>
  <si>
    <t>4,37
0,1</t>
  </si>
  <si>
    <t>3,85
0,09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</si>
  <si>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</si>
  <si>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</si>
  <si>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286,45
141,19</t>
  </si>
  <si>
    <t>143,43
2,03</t>
  </si>
  <si>
    <t xml:space="preserve">26.104 Огнебиозащитное покрытие деревянных конструкций составами 'Пирилакс' (любой модификации): ОЗП=16,45; ЭМ=11,16; ЗПМ=16,45; МАТ=19,16
 </t>
  </si>
  <si>
    <t>35400
740</t>
  </si>
  <si>
    <t>14,8465
0,175</t>
  </si>
  <si>
    <t>328,33
3,87</t>
  </si>
  <si>
    <t>ФССЦ-113-8072
--------------------
Приказ Минстроя России от 12.11.14 №703/пр</t>
  </si>
  <si>
    <t xml:space="preserve">Антисептик-антипирен «ПИРИЛАКС-ЛЮКС» для древесины  ТССЦ-113-0515-00005 226,68/18,23=12,23, кг
 </t>
  </si>
  <si>
    <t xml:space="preserve">; МАТ=12,23
 </t>
  </si>
  <si>
    <t>7584
332</t>
  </si>
  <si>
    <t>2234,16
24,8</t>
  </si>
  <si>
    <t>81552
5459</t>
  </si>
  <si>
    <t>Итоги по разделу 2 Устройство крыши, кровли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</si>
  <si>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</si>
  <si>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Строительные металлические конструкции</t>
  </si>
  <si>
    <t>127,59
6,02</t>
  </si>
  <si>
    <t xml:space="preserve">  Материалы для строительных работ</t>
  </si>
  <si>
    <t xml:space="preserve">  Теплоизоляционные работы</t>
  </si>
  <si>
    <t>488,67
3,87</t>
  </si>
  <si>
    <t xml:space="preserve">  Стены (ремонтно-строительные)</t>
  </si>
  <si>
    <t xml:space="preserve">  Деревянные конструкции</t>
  </si>
  <si>
    <t>1040,31
5,38</t>
  </si>
  <si>
    <t xml:space="preserve">  Крыши, кровли (ремонтно-строительные)</t>
  </si>
  <si>
    <t>187,15
2,29</t>
  </si>
  <si>
    <t xml:space="preserve">  Кровли</t>
  </si>
  <si>
    <t>387,2
6,97</t>
  </si>
  <si>
    <t xml:space="preserve">  Защита строительных конструкций и оборудования от коррозии</t>
  </si>
  <si>
    <t xml:space="preserve">  Итого по разделу 2 Устройство крыши, кровли</t>
  </si>
  <si>
    <t xml:space="preserve">                           Раздел 3. Перевозки</t>
  </si>
  <si>
    <t>ФССЦпг03-02-01-122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</si>
  <si>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122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</si>
  <si>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122 км.: I класс груза; ЭМ=11,42
 </t>
  </si>
  <si>
    <t>ФССЦпг03-01-01-122
--------------------
Пр. Минрегион от 20.07.11 №354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</si>
  <si>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122 км I класс груза, 1 т груза
НР 0%=0%*0.85 от ФОТ
СП 0%=0%*0.8 от ФОТ
 </t>
  </si>
  <si>
    <t xml:space="preserve">Перевозка бетонных и ж/б изделий, стеновых и перегородочных материалов (кирпич, блоки, камни, плиты и панели), лесоматериалов круглых и пиломатериалов автомобилями бортовыми грузоподъемностью до 15 т, на расстояние до 122 км.: I класс груза; ЭМ=10,58
 </t>
  </si>
  <si>
    <t>ФССЦпг03-02-02-122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</si>
  <si>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122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</si>
  <si>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122 км.: II класс груза; ЭМ=11,42
 </t>
  </si>
  <si>
    <t>ФССЦпг03-02-03-122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</si>
  <si>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122 км III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</si>
  <si>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122 км.: III класс груза; ЭМ=11,42
 </t>
  </si>
  <si>
    <t>Итоги по разделу 3 Перевозки :</t>
  </si>
  <si>
    <t xml:space="preserve">  Перевозка грузов автотранспортом</t>
  </si>
  <si>
    <t xml:space="preserve">  Итого по разделу 3 Перевозки</t>
  </si>
  <si>
    <t>Итого прямые затраты по смете в ценах 2001г.</t>
  </si>
  <si>
    <t>11440
517</t>
  </si>
  <si>
    <t>2780,48
40,34</t>
  </si>
  <si>
    <t>Итого прямые затраты по смете с учетом индексов, в текущих ценах</t>
  </si>
  <si>
    <t>119612
8501</t>
  </si>
  <si>
    <t>Итоги по смете:</t>
  </si>
  <si>
    <t>2732,88
40,34</t>
  </si>
  <si>
    <t xml:space="preserve">  ВСЕГО по смете</t>
  </si>
  <si>
    <t>на  Капитальный ремонт крыши.</t>
  </si>
  <si>
    <t>ЛОКАЛЬНЫЙ СМЕТНЫЙ РАСЧЕТ №  02-01-01</t>
  </si>
  <si>
    <t>Капитальный ремонт многоквартирного дома, расположенного по адресу: Томская область, Зырянский район, с.Зырянское, ул.Советская, 20.  Капитальный ремонт крыши.</t>
  </si>
  <si>
    <t>Составлен(а) в текущих ценах по состоянию на 2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</si>
  <si>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</si>
  <si>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</si>
  <si>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</si>
  <si>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</si>
  <si>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</si>
  <si>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</si>
  <si>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</si>
  <si>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</si>
  <si>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</si>
  <si>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</si>
  <si>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</si>
  <si>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</si>
  <si>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</si>
  <si>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</si>
  <si>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</si>
  <si>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</si>
  <si>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</si>
  <si>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</si>
  <si>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</si>
  <si>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</si>
  <si>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</si>
  <si>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</si>
  <si>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</si>
  <si>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</si>
  <si>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</si>
  <si>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</si>
  <si>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</si>
  <si>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</si>
  <si>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</si>
  <si>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</si>
  <si>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</si>
  <si>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</si>
  <si>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</si>
  <si>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</si>
  <si>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</si>
  <si>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</si>
  <si>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</si>
  <si>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</si>
  <si>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</si>
  <si>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</si>
  <si>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</si>
  <si>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</si>
  <si>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</si>
  <si>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</si>
  <si>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</si>
  <si>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</si>
  <si>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</si>
  <si>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</si>
  <si>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</si>
  <si>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</si>
  <si>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</si>
  <si>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</si>
  <si>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</si>
  <si>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</si>
  <si>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</si>
  <si>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</si>
  <si>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</si>
  <si>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</si>
  <si>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</si>
  <si>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</si>
  <si>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</si>
  <si>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</si>
  <si>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</si>
  <si>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</si>
  <si>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</si>
  <si>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</si>
  <si>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</si>
  <si>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</si>
  <si>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</si>
  <si>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</si>
  <si>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</si>
  <si>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</si>
  <si>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</si>
  <si>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</si>
  <si>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</si>
  <si>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</si>
  <si>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</si>
  <si>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</si>
  <si>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</si>
  <si>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</si>
  <si>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</si>
  <si>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</si>
  <si>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</si>
  <si>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</si>
  <si>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</si>
  <si>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</si>
  <si>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</si>
  <si>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</si>
  <si>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</si>
  <si>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</si>
  <si>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</si>
  <si>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</si>
  <si>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</si>
  <si>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</si>
  <si>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</si>
  <si>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</si>
  <si>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</si>
  <si>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</si>
  <si>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</si>
  <si>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</si>
  <si>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</si>
  <si>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</si>
  <si>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</si>
  <si>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</si>
  <si>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</si>
  <si>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</si>
  <si>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</si>
  <si>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</si>
  <si>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</si>
  <si>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</si>
  <si>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</si>
  <si>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</si>
  <si>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</si>
  <si>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</si>
  <si>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</si>
  <si>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</si>
  <si>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</si>
  <si>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</si>
  <si>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</si>
  <si>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</si>
  <si>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</si>
  <si>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</si>
  <si>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</si>
  <si>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</si>
  <si>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</si>
  <si>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</si>
  <si>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</si>
  <si>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</si>
  <si>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</si>
  <si>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</si>
  <si>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</si>
  <si>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</si>
  <si>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</si>
  <si>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</si>
  <si>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</si>
  <si>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</si>
  <si>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</si>
  <si>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</si>
  <si>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</si>
  <si>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</si>
  <si>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</si>
  <si>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</si>
  <si>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</si>
  <si>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</si>
  <si>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</si>
  <si>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</si>
  <si>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</si>
  <si>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</si>
  <si>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</si>
  <si>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</si>
  <si>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</si>
  <si>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</si>
  <si>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</si>
  <si>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</si>
  <si>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</si>
  <si>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</si>
  <si>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</si>
  <si>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</si>
  <si>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</si>
  <si>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</si>
  <si>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</si>
  <si>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</si>
  <si>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</si>
  <si>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</si>
  <si>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</si>
  <si>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</si>
  <si>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</si>
  <si>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</si>
  <si>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</si>
  <si>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</si>
  <si>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</si>
  <si>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</si>
  <si>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</si>
  <si>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</si>
  <si>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</si>
  <si>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</si>
  <si>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</si>
  <si>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</si>
  <si>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</si>
  <si>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</si>
  <si>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</si>
  <si>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</si>
  <si>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</si>
  <si>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</si>
  <si>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</si>
  <si>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</si>
  <si>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</si>
  <si>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</si>
  <si>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</si>
  <si>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</si>
  <si>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</si>
  <si>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</si>
  <si>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</si>
  <si>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</si>
  <si>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</si>
  <si>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</si>
  <si>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</si>
  <si>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</si>
  <si>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</si>
  <si>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</si>
  <si>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</si>
  <si>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</si>
  <si>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</si>
  <si>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</si>
  <si>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</si>
  <si>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</si>
  <si>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</si>
  <si>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</si>
  <si>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</si>
  <si>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</si>
  <si>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</si>
  <si>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</si>
  <si>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</si>
  <si>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</si>
  <si>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</si>
  <si>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</si>
  <si>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</si>
  <si>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</si>
  <si>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</si>
  <si>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</si>
  <si>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</si>
  <si>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</si>
  <si>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</si>
  <si>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</si>
  <si>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</si>
  <si>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</si>
  <si>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</si>
  <si>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</si>
  <si>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</si>
  <si>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</si>
  <si>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</si>
  <si>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</si>
  <si>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</si>
  <si>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</si>
  <si>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</si>
  <si>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</si>
  <si>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</si>
  <si>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</si>
  <si>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</si>
  <si>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</si>
  <si>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</si>
  <si>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</si>
  <si>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</si>
  <si>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</si>
  <si>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</si>
  <si>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</si>
  <si>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</si>
  <si>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</si>
  <si>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</si>
  <si>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</si>
  <si>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</si>
  <si>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</si>
  <si>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</si>
  <si>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</si>
  <si>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</si>
  <si>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</si>
  <si>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</si>
  <si>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</si>
  <si>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</si>
  <si>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</si>
  <si>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</si>
  <si>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</si>
  <si>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</si>
  <si>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</si>
  <si>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</si>
  <si>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</si>
  <si>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</si>
  <si>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</si>
  <si>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</si>
  <si>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</si>
  <si>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</si>
  <si>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</si>
  <si>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</si>
  <si>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</si>
  <si>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</si>
  <si>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</si>
  <si>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</si>
  <si>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</si>
  <si>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</si>
  <si>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</si>
  <si>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</si>
  <si>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</si>
  <si>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</si>
  <si>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</si>
  <si>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</si>
  <si>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</si>
  <si>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</si>
  <si>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</si>
  <si>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</si>
  <si>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</si>
  <si>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</si>
  <si>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</si>
  <si>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</si>
  <si>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</si>
  <si>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</si>
  <si>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</si>
  <si>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</si>
  <si>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</si>
  <si>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</si>
  <si>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</si>
  <si>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</si>
  <si>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</si>
  <si>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</si>
  <si>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</si>
  <si>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</si>
  <si>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</si>
  <si>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</si>
  <si>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</si>
  <si>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</si>
  <si>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</si>
  <si>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</si>
  <si>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</si>
  <si>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</si>
  <si>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</si>
  <si>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</si>
  <si>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</si>
  <si>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Основание:  КР</t>
  </si>
  <si>
    <t>Проверил:____________________________</t>
  </si>
  <si>
    <t xml:space="preserve">                           Раздел 1. Демонтажные работы</t>
  </si>
  <si>
    <t>ФЕР46-04-008-04
--------------------
Приказ Минстроя РФ от 30.01.14 №31/пр</t>
  </si>
  <si>
    <t xml:space="preserve">Разборка покрытий кровель: из волнистых и полуволнистых асбестоцементных листов, 100 м2 покрытия
НР 84%=110%*(0.9*0.85) от ФОТ
СП 48%=70%*(0.85*0.8) от ФОТ
 </t>
  </si>
  <si>
    <t>154,66
124,02</t>
  </si>
  <si>
    <t xml:space="preserve">46.70 Разборка покрытий кровель: ОЗП=16,45; ЭМ=2,99; ЗПМ=16,45
 </t>
  </si>
  <si>
    <t>ФЕРр58-3-1
--------------------
Приказ Минстроя РФ от 30.01.14 №31/пр</t>
  </si>
  <si>
    <t xml:space="preserve">Разборка мелких покрытий и обделок из листовой стали: поясков, сандриков, желобов, отливов, свесов и т.п., 100 м труб и покрытий
НР 71%=83%*0.85 от ФОТ
СП 52%=65%*0.8 от ФОТ
 </t>
  </si>
  <si>
    <t>0,897
0,174+0,723</t>
  </si>
  <si>
    <t>71,18
70,98</t>
  </si>
  <si>
    <t xml:space="preserve">84.3 Разборка мелких покрытий и обделок из листовой стали: ОЗП=16,45; ЭМ=4,75; ЗПМ=16,45
 </t>
  </si>
  <si>
    <t>ФЕРр58-1-1
--------------------
Приказ Минстроя РФ от 30.01.14 №31/пр</t>
  </si>
  <si>
    <t xml:space="preserve">Разборка деревянных элементов конструкций крыш: обрешетки из брусков с прозорами, 100 м2 кровли
НР 71%=83%*0.85 от ФОТ
СП 52%=65%*0.8 от ФОТ
 </t>
  </si>
  <si>
    <t>160,11
120,37</t>
  </si>
  <si>
    <t>39,74
6,21</t>
  </si>
  <si>
    <t xml:space="preserve">84.1 Разборка деревянных элементов конструкций крыш: ОЗП=16,45; ЭМ=12,02; ЗПМ=16,45
 </t>
  </si>
  <si>
    <t>2957
625</t>
  </si>
  <si>
    <t>15,16
0,46</t>
  </si>
  <si>
    <t>93,76
2,84</t>
  </si>
  <si>
    <t>ФЕРр58-1-3
--------------------
Приказ Минстроя РФ от 30.01.14 №31/пр</t>
  </si>
  <si>
    <t xml:space="preserve">Разборка деревянных элементов конструкций крыш: стропил со стойками и подкосами из брусьев и бревен, 100 м2 кровли
НР 71%=83%*0.85 от ФОТ
СП 52%=65%*0.8 от ФОТ
 </t>
  </si>
  <si>
    <t>255,37
219,08</t>
  </si>
  <si>
    <t>36,29
5,67</t>
  </si>
  <si>
    <t>2753
592</t>
  </si>
  <si>
    <t>27,08
0,42</t>
  </si>
  <si>
    <t>170,91
2,65</t>
  </si>
  <si>
    <t>ФЕРр58-1-4
--------------------
Приказ Минстроя РФ от 30.01.14 №31/пр</t>
  </si>
  <si>
    <t xml:space="preserve">Разборка деревянных элементов конструкций крыш: мауэрлатов, 100 м2 кровли
НР 71%=83%*0.85 от ФОТ
СП 52%=65%*0.8 от ФОТ
 </t>
  </si>
  <si>
    <t>76,77
53,44</t>
  </si>
  <si>
    <t>23,33
3,65</t>
  </si>
  <si>
    <t>1767
378</t>
  </si>
  <si>
    <t>6,73
0,27</t>
  </si>
  <si>
    <t>42,48
1,7</t>
  </si>
  <si>
    <t>ФЕРр58-2-2
--------------------
Приказ Минстроя РФ от 30.01.14 №31/пр</t>
  </si>
  <si>
    <t xml:space="preserve">Разборка слуховых окон: прямоугольных односкатных, 100 окон
НР 71%=83%*0.85 от ФОТ
СП 52%=65%*0.8 от ФОТ
 </t>
  </si>
  <si>
    <t>2466,21
2455,84</t>
  </si>
  <si>
    <t xml:space="preserve">84.2 Разборка слуховых окон: ОЗП=16,45; ЭМ=4,64; ЗПМ=16,45
 </t>
  </si>
  <si>
    <t>ФЕР46-04-001-04
--------------------
Приказ Минстроя РФ от 30.01.14 №31/пр</t>
  </si>
  <si>
    <t xml:space="preserve">Разборка: кирпичных стен, 1 м3
НР 84%=110%*(0.9*0.85) от ФОТ
СП 48%=70%*(0.85*0.8) от ФОТ
 </t>
  </si>
  <si>
    <t>6,23
6,272-0,042</t>
  </si>
  <si>
    <t>180,03
73,01</t>
  </si>
  <si>
    <t>107,02
11,57</t>
  </si>
  <si>
    <t xml:space="preserve">46.59 Разборка: кирпичных и мелкоблочных стен: ОЗП=16,45; ЭМ=7,36; ЗПМ=16,45
 </t>
  </si>
  <si>
    <t>4909
1184</t>
  </si>
  <si>
    <t>8,24
1,15</t>
  </si>
  <si>
    <t>51,34
7,16</t>
  </si>
  <si>
    <t>ФЕР09-06-001-01,применит.
--------------------
Приказ Минстроя РФ от 30.01.14 №31/пр</t>
  </si>
  <si>
    <t xml:space="preserve">Разборка резервуара, 1 т конструкций
(ПЗ=0,7 (ОЗП=0,7; ЭМ=0,7 к расх.; ЗПМ=0,7; МАТ=0 к расх.; ТЗ=0,7; ТЗМ=0,7))
НР 69%=90%*(0.9*0.85) от ФОТ
СП 58%=85%*(0.85*0.8) от ФОТ
 </t>
  </si>
  <si>
    <t>626,47
534,35</t>
  </si>
  <si>
    <t>92,13
4,63</t>
  </si>
  <si>
    <t xml:space="preserve">9.75 Монтаж дверей, люков, подвесных путей из полосовой стали и труб; лотков решеток, стеллажей из стали различного профиля: ОЗП=16,45; ЭМ=8,39; ЗПМ=16,45; МАТ=5,35
 </t>
  </si>
  <si>
    <t>176
16</t>
  </si>
  <si>
    <t>62,643
0,343</t>
  </si>
  <si>
    <t>14,61
0,08</t>
  </si>
  <si>
    <t>ФЕР46-04-006-03
--------------------
Приказ Минстроя РФ от 30.01.14 №31/пр</t>
  </si>
  <si>
    <t xml:space="preserve">Разборка деревянных перегородок: чистых щитовых дощатых, 100 м2
НР 84%=110%*(0.9*0.85) от ФОТ
СП 48%=70%*(0.85*0.8) от ФОТ
 </t>
  </si>
  <si>
    <t>435,33
221,51</t>
  </si>
  <si>
    <t>213,82
92,34</t>
  </si>
  <si>
    <t xml:space="preserve">46.67 Разборка деревянных перегородок: ОЗП=16,45; ЭМ=7,19; ЗПМ=16,45
 </t>
  </si>
  <si>
    <t>244
247</t>
  </si>
  <si>
    <t>29,3
6,84</t>
  </si>
  <si>
    <t>4,74
1,11</t>
  </si>
  <si>
    <t>ФЕРм10-05-001-04
--------------------
Приказ Минстроя РФ от 30.01.14 №31/пр</t>
  </si>
  <si>
    <t xml:space="preserve"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каналов, 1 антенна
НР 78%=92%*0.85 от ФОТ
СП 52%=65%*0.8 от ФОТ
 </t>
  </si>
  <si>
    <t>251,26
246,33</t>
  </si>
  <si>
    <t xml:space="preserve">57.204 Настройка крупных систем коллективного приёма телевидения (КСКПТ): ОЗП=16,45; МАТ=5,58
 </t>
  </si>
  <si>
    <t>ФССЦпг01-01-01-041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</si>
  <si>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вручную, 1 т груза
НР 0%=0%*0.85 от ФОТ
СП 0%=0%*0.8 от ФОТ
 </t>
  </si>
  <si>
    <t xml:space="preserve">Мусор строительный, вручную: погрузка: ОЗП=10,64
 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</si>
  <si>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</si>
  <si>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</si>
  <si>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ЭМ=11,56
 </t>
  </si>
  <si>
    <t>ФССЦпг03-21-01-015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</si>
  <si>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15 км I класс груза, 1 т груза
НР 0% от ФОТ
СП 0% от ФОТ
 </t>
  </si>
  <si>
    <t xml:space="preserve">Перевозка грузов автомобилями-самосвалами грузоподъемностью 10 т, работающих вне карьера, на расстояние: до 15 км.: I класс груза; ЭМ=9,57
 </t>
  </si>
  <si>
    <t>Итого прямые затраты по разделу в ценах 2001г.</t>
  </si>
  <si>
    <t>2507
185</t>
  </si>
  <si>
    <t>546,32
15,54</t>
  </si>
  <si>
    <t>Итого прямые затраты по разделу с учетом индексов, в текущих ценах</t>
  </si>
  <si>
    <t>22656
3042</t>
  </si>
  <si>
    <t>Накладные расходы</t>
  </si>
  <si>
    <t>Сметная прибыль</t>
  </si>
  <si>
    <t>Итоги по разделу 1 Демонтажные работы :</t>
  </si>
  <si>
    <t xml:space="preserve">  Итого Строительные работы</t>
  </si>
  <si>
    <t>498,72
15,54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</si>
  <si>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</si>
  <si>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</si>
  <si>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</si>
  <si>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</si>
  <si>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</si>
  <si>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</si>
  <si>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</si>
  <si>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</si>
  <si>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</si>
  <si>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Устройство крыши, кровли</t>
  </si>
  <si>
    <t>ФЕР46-03-007-03
--------------------
Приказ Минстроя РФ от 30.01.14 №31/пр</t>
  </si>
  <si>
    <t xml:space="preserve">Пробивка гнезд в конструкциях: из кирпича, 1 м3
НР 84%=110%*(0.9*0.85) от ФОТ
СП 48%=70%*(0.85*0.8) от ФОТ
 </t>
  </si>
  <si>
    <t>346,7
110,33</t>
  </si>
  <si>
    <t>236,37
25,55</t>
  </si>
  <si>
    <t xml:space="preserve">46.47 Пробивка проемов в конструкциях. Устройство ниш в кирпичных стенах: ОЗП=16,45; ЭМ=7,36; ЗПМ=16,45
 </t>
  </si>
  <si>
    <t>177
49</t>
  </si>
  <si>
    <t>12,3
2,54</t>
  </si>
  <si>
    <t>1,23
0,25</t>
  </si>
  <si>
    <t>ФЕР09-03-015-01
--------------------
Приказ Минстроя РФ от 30.01.14 №31/пр</t>
  </si>
  <si>
    <t xml:space="preserve">Монтаж прогонов при шаге ферм до 12 м при высоте здания: до 25 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</si>
  <si>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599,97
158,7</t>
  </si>
  <si>
    <t>355,76
28,06</t>
  </si>
  <si>
    <t xml:space="preserve">9.31 Монтаж прогонов при шаге ферм до 12 м: ОЗП=16,45; ЭМ=10,16; ЗПМ=16,45; МАТ=5,55
 </t>
  </si>
  <si>
    <t>9987
1283</t>
  </si>
  <si>
    <t>18,1585
1,95</t>
  </si>
  <si>
    <t>50,15
5,39</t>
  </si>
  <si>
    <t>201-0758</t>
  </si>
  <si>
    <t xml:space="preserve">Отдельные конструктивные элементы зданий и сооружений с преобладанием горячекатаных профилей, средняя масса сборочной единицы свыше 1 до 3 т, т
 </t>
  </si>
  <si>
    <t xml:space="preserve">Отдельные конструктивные элементы зданий и сооружений с преобладанием горячекатаных профилей, средняя масса сборочной единицы свыше 1 до 3 т; МАТ=9,931
 </t>
  </si>
  <si>
    <t>ФЕР26-02-011-03
--------------------
Приказ Минстроя РФ от 30.01.14 №31/пр</t>
  </si>
  <si>
    <t xml:space="preserve">Нанесение огнезащитной краски на металлические огрунтованные поверхности с пределом огнестойкости: 1 час толщиной слоя 1,55 мм,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</si>
  <si>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6484,1
1400,88</t>
  </si>
  <si>
    <t xml:space="preserve">26.97 Нанесение огнезащитной краски на металлические огрунтованные поверхности с пределом огнестойкости: 1 час толщиной слоя 1,55 мм: ОЗП=16,45; ЭМ=11,19; ЗПМ=16,45; МАТ=2,73
 </t>
  </si>
  <si>
    <t>ФССЦ-113-1779
--------------------
Приказ Минстроя России от 12.11.14 №703/пр</t>
  </si>
  <si>
    <t xml:space="preserve">Краска огнезащитная, т
 </t>
  </si>
  <si>
    <t xml:space="preserve">Краска огнезащитная; МАТ=2,73
 </t>
  </si>
  <si>
    <t>Огнезащита плюс</t>
  </si>
  <si>
    <t xml:space="preserve">Unitfire CH Краска огнезащитная  295/1,18/5,58, кг
 </t>
  </si>
  <si>
    <t xml:space="preserve">Материалы; МАТ=5,58
 </t>
  </si>
  <si>
    <t>ФЕРр53-16-1
--------------------
Приказ Минстроя РФ от 30.01.14 №31/пр</t>
  </si>
  <si>
    <t xml:space="preserve">Ремонт кирпичной кладки стен отдельными местами, 1 м3 кладки
НР 73%=86%*0.85 от ФОТ
СП 56%=70%*0.8 от ФОТ
 </t>
  </si>
  <si>
    <t>1149,58
283,83</t>
  </si>
  <si>
    <t>29,59
5,81</t>
  </si>
  <si>
    <t xml:space="preserve">79.31 Ремонт кирпичной кладки стен отдельными местами: ОЗП=16,45; ЭМ=9,83; ЗПМ=16,45; МАТ=4,63
 </t>
  </si>
  <si>
    <t>35,39
0,43</t>
  </si>
  <si>
    <t>1,49
0,02</t>
  </si>
  <si>
    <t>ФЕР10-01-002-01
--------------------
Приказ Минстроя РФ от 30.01.14 №31/пр</t>
  </si>
  <si>
    <t xml:space="preserve">Установка стропил,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</si>
  <si>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24,639
26,515+0,124-2</t>
  </si>
  <si>
    <t>2340,25
230,22</t>
  </si>
  <si>
    <t>47,78
2,54</t>
  </si>
  <si>
    <t xml:space="preserve">10.4. Установка стропил: ОЗП=16,45; ЭМ=10,79; ЗПМ=16,45; МАТ=3,71
 </t>
  </si>
  <si>
    <t>12700
1036</t>
  </si>
  <si>
    <t>27,7035
0,1875</t>
  </si>
  <si>
    <t>682,59
4,62</t>
  </si>
  <si>
    <t>ФЕРр58-12-1
--------------------
Приказ Минстроя РФ от 30.01.14 №31/пр</t>
  </si>
  <si>
    <t xml:space="preserve">Устройство обрешетки сплошной из досок, 100 м2
НР 71%=83%*0.85 от ФОТ
СП 52%=65%*0.8 от ФОТ
 </t>
  </si>
  <si>
    <t>2492,19
252,73</t>
  </si>
  <si>
    <t>40,78
5,94</t>
  </si>
  <si>
    <t xml:space="preserve">84.30 Устройство обрешетки сплошной из досок: ОЗП=16,45; ЭМ=10; ЗПМ=16,45; МАТ=5,51
 </t>
  </si>
  <si>
    <t>1030
247</t>
  </si>
  <si>
    <t>31,83
0,44</t>
  </si>
  <si>
    <t>80,72
1,12</t>
  </si>
  <si>
    <t>ФЕРр58-12-2
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</si>
  <si>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71%=83%*0.85 от ФОТ
СП 52%=65%*0.8 от ФОТ
 </t>
  </si>
  <si>
    <t>1766,82
169,52</t>
  </si>
  <si>
    <t>26,57
4,32</t>
  </si>
  <si>
    <t xml:space="preserve">84.31 Устройство обрешетки с прозорами из досок и брусков под кровлю: из листовой стали: ОЗП=16,45; ЭМ=9,83; ЗПМ=16,45; МАТ=5,25
 </t>
  </si>
  <si>
    <t>954
263</t>
  </si>
  <si>
    <t>21,35
0,32</t>
  </si>
  <si>
    <t>77,9
1,17</t>
  </si>
  <si>
    <t>ФЕР10-01-008-05
--------------------
Приказ Минстроя России от 12.11.14 №703/пр</t>
  </si>
  <si>
    <t xml:space="preserve">Устройство: карнизов и лобовой доски,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</si>
  <si>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5516,45
1402,76</t>
  </si>
  <si>
    <t xml:space="preserve">10.12. Устройство карнизов: ОЗП=16,45; ЭМ=11,36; ЗПМ=16,45; МАТ=6,51
 </t>
  </si>
  <si>
    <t>ФССЦ-102-0048
--------------------
Приказ Минстроя России от 12.11.14 №703/пр</t>
  </si>
  <si>
    <t xml:space="preserve">Добавить до проектного объема:Доски обрезные хвойных пород длиной: 4-6,5 м, шириной 75-150, мм толщиной 19-22 мм, II сорта, м3
 </t>
  </si>
  <si>
    <t xml:space="preserve">Доски обрезные хвойных пород длиной: 4-6,5 м, шириной 75-150, мм толщиной 19-22 мм, II сорта; МАТ=3,677
 </t>
  </si>
  <si>
    <t>ФЕР10-01-044-06
--------------------
Приказ Минстроя РФ от 30.01.14 №31/пр</t>
  </si>
  <si>
    <t xml:space="preserve">Обивка карниза неоцинкованной кровельной сталью: по дереву с одной стороны,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</si>
  <si>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7446,54
774,66</t>
  </si>
  <si>
    <t>21,79
1,19</t>
  </si>
  <si>
    <t xml:space="preserve">10.113 Обивка дверей неоцинкованной кровельной сталью: по дереву: ОЗП=16,45; ЭМ=11,09; ЗПМ=16,45; МАТ=2,4
 </t>
  </si>
  <si>
    <t>277
16</t>
  </si>
  <si>
    <t>94,0125
0,0875</t>
  </si>
  <si>
    <t>105,79
0,1</t>
  </si>
  <si>
    <t>ФССЦ-101-1756
--------------------
Приказ Минстроя России от 12.11.14 №703/пр</t>
  </si>
  <si>
    <t xml:space="preserve">Сталь листовая кровельная СТК-1 толщиной: 0,50 мм, т
 </t>
  </si>
  <si>
    <t xml:space="preserve">Сталь листовая кровельная СТК-1 толщиной: 0,5мм; МАТ=2,392
 </t>
  </si>
  <si>
    <t>101-3849</t>
  </si>
  <si>
    <t xml:space="preserve">Профилированный настил оцинкованный: С10-1000-0,6, т
 </t>
  </si>
  <si>
    <t>0,705563
5,7*112,53*1,1/1000</t>
  </si>
  <si>
    <t xml:space="preserve">Профилированный настил оцинкованный: С10-1000-0,6; МАТ=3,862
 </t>
  </si>
  <si>
    <t>ФЕР09-03-050-01
--------------------
Приказ Минстроя РФ от 30.01.14 №31/пр</t>
  </si>
  <si>
    <t xml:space="preserve">Обрамление угловой сталью, 100 м плинтуса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</si>
  <si>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201,46
136,75</t>
  </si>
  <si>
    <t xml:space="preserve">9.47 Монтаж стальных плинтусов из гнутого профиля: ОЗП=16,45; ЭМ=4,68; ЗПМ=16,45; МАТ=8,52
 </t>
  </si>
  <si>
    <t>101-2542</t>
  </si>
  <si>
    <t xml:space="preserve">Сталь угловая 50х50 мм, т
 </t>
  </si>
  <si>
    <t xml:space="preserve">Сталь угловая 50х50 мм; МАТ=5,749
 </t>
  </si>
  <si>
    <t>ФЕР10-01-003-01
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</si>
  <si>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</si>
  <si>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392,81
65,03</t>
  </si>
  <si>
    <t>27,58
1,86</t>
  </si>
  <si>
    <t xml:space="preserve">10.5. Устройство слуховых окон: ОЗП=16,45; ЭМ=10,98; ЗПМ=16,45; МАТ=5,3
 </t>
  </si>
  <si>
    <t>1208
115</t>
  </si>
  <si>
    <t>7,6245
0,1375</t>
  </si>
  <si>
    <t>30,5
0,55</t>
  </si>
  <si>
    <t>ФССЦ-101-2001
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</si>
  <si>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</si>
  <si>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Шпингалеты дверные размером 230x26 мм, оцинкованные или окрашенные; МАТ=1,941
 </t>
  </si>
  <si>
    <t>ФССЦ-101-2007
--------------------
Приказ Минстроя России от 12.11.14 №703/пр</t>
  </si>
  <si>
    <t xml:space="preserve">Петли форточные накладные размером 70х55 мм, компл.
 </t>
  </si>
  <si>
    <t xml:space="preserve">Петли форточные накладные размером 70x55 мм; МАТ=2,337
 </t>
  </si>
  <si>
    <t>ФЕР10-01-010-01
--------------------
Приказ Минстроя РФ от 30.01.14 №31/пр</t>
  </si>
  <si>
    <t xml:space="preserve">Устройство лестниц к слуховым  окнам,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</si>
  <si>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2447,72
216,83</t>
  </si>
  <si>
    <t xml:space="preserve">10.18. Установка деревянных элементов каркаса: ОЗП=16,08; ЭМ=9,79; ЗПМ=16,08; МАТ=3,36
 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</si>
  <si>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</si>
  <si>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71%=83%*0.85 от ФОТ
СП 52%=65%*0.8 от ФОТ
 </t>
  </si>
  <si>
    <t>924,81
36,25</t>
  </si>
  <si>
    <t xml:space="preserve">84.34 Устройство покрытия из рулонных материалов: насухо без промазки кромок: ОЗП=16,45; ЭМ=11,42; ЗПМ=16,45; МАТ=5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</si>
  <si>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</si>
  <si>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</si>
  <si>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МАТ=4,999
 </t>
  </si>
  <si>
    <t>ФССЦ-101-7200
--------------------
Приказ Минстроя России от 12.11.14 №703/пр</t>
  </si>
  <si>
    <t xml:space="preserve">ИЗОСПАН: D, 10 м2
 </t>
  </si>
  <si>
    <t xml:space="preserve">ТССЦ-104-9221-90004 18,33/37,5/10м2=4,89; МАТ=4,89
 </t>
  </si>
  <si>
    <t>ФЕР09-05-006-01
--------------------
Приказ Минстроя РФ от 30.01.14 №31/пр</t>
  </si>
  <si>
    <t xml:space="preserve">Резка стального профилированного настила, 1 м реза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</si>
  <si>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4,2
3,51</t>
  </si>
  <si>
    <t xml:space="preserve">9.74 Резка стального профилированного настила: ОЗП=16,45; ЭМ=2,22; ЗПМ=16,45
 </t>
  </si>
  <si>
    <t>ФЕР12-01-023-01
--------------------
Приказ Минстроя РФ от 30.01.14 №31/пр</t>
  </si>
  <si>
    <t xml:space="preserve">Устройство кровли из металлочерепицы по готовым прогонам: простая кровля,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</si>
  <si>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9676,33
382,84</t>
  </si>
  <si>
    <t>144,05
13,34</t>
  </si>
  <si>
    <t xml:space="preserve">12.51. Устройство кровли из металлочерепицы (с отделочным покрытием): ОЗП=16,45; ЭМ=11,1; ЗПМ=16,45; МАТ=3,6
 </t>
  </si>
  <si>
    <t>10090
1382</t>
  </si>
  <si>
    <t>44,3095
0,9875</t>
  </si>
  <si>
    <t>279,65
6,23</t>
  </si>
  <si>
    <t>ФССЦ-101-4136
--------------------
Приказ Минстроя России от 12.11.14 №703/пр</t>
  </si>
  <si>
    <t xml:space="preserve">Металлочерепица «Монтеррей», м2
 </t>
  </si>
  <si>
    <t xml:space="preserve">Металлочерепица «Монтеррей»; МАТ=3,818
 </t>
  </si>
  <si>
    <t>ФССЦ-101-3845
--------------------
Приказ Минстроя России от 12.11.14 №703/пр</t>
  </si>
  <si>
    <t xml:space="preserve">Профилированный лист оцинкованный: НС44-1000-0,7, т
 </t>
  </si>
  <si>
    <t>5,762217
8,3*631,13*1,1/1000</t>
  </si>
  <si>
    <t xml:space="preserve">Профилированный лист оцинкованный: НС44-1000-0,7; МАТ=4,286
 </t>
  </si>
  <si>
    <t>ФССЦ-101-2410-20002</t>
  </si>
  <si>
    <t xml:space="preserve">Планка оцинкованная, с полимерным покрытием конька металлочерепичного: плоского, с полкой 190мм 141,71/5,58, м
 </t>
  </si>
  <si>
    <t>ФССЦ-101-2410-20007</t>
  </si>
  <si>
    <t xml:space="preserve">Планка примыкания верхняя металлочерепичная оцинкованная, с полимерным покрытием 161,37/5,58, м
 </t>
  </si>
  <si>
    <t>ФССЦ-101-1998
--------------------
Приказ Минстроя России от 12.11.14 №703/пр</t>
  </si>
  <si>
    <t xml:space="preserve">Добавить :Прокладки уплотнительные: пенополиуретановые открытопористые для металлочерепицы (1800*50*50 мм), м
 </t>
  </si>
  <si>
    <t xml:space="preserve">Прокладки уплотнительные:пенополиуретановые открытопористые для металлочерепицы (1800*50*50 мм); МАТ=1,637
 </t>
  </si>
  <si>
    <t>101-1706</t>
  </si>
  <si>
    <t xml:space="preserve">Сталь оцинкованная листовая толщиной листа 0,5 мм, т
 </t>
  </si>
  <si>
    <t>0,023424
3,84*6,1/1000</t>
  </si>
  <si>
    <t xml:space="preserve">Сталь оцинкованная листовая толщиной листа 0,5 мм; МАТ=3,707
 </t>
  </si>
  <si>
    <t>ФЕР12-01-010-01
--------------------
Приказ Минстроя РФ от 30.01.14 №31/пр</t>
  </si>
  <si>
    <t xml:space="preserve">Устройство капельника,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</si>
  <si>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10025,83
1106,02</t>
  </si>
  <si>
    <t>29,23
3,38</t>
  </si>
  <si>
    <t xml:space="preserve">12.27. Устройство мелких покрытий (брандмауэры, парапеты, свесы и т.п.) из листовой оцинкованной стали: ОЗП=16,45; ЭМ=11,87; ЗПМ=16,45; МАТ=3,66
 </t>
  </si>
  <si>
    <t>261
49</t>
  </si>
  <si>
    <t>129,6625
0,25</t>
  </si>
  <si>
    <t>95,95
0,19</t>
  </si>
  <si>
    <t xml:space="preserve">Обивка  слуховых окон неоцинкованной кровельной сталью: по дереву с одной стороны,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</si>
  <si>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25,2
0,02</t>
  </si>
  <si>
    <t>Проведена проверка достоверности определения сметной стоимости</t>
  </si>
  <si>
    <t>Составил:____________________________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</si>
</sst>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1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6" fillId="0" borderId="1">
      <alignment horizontal="center"/>
      <protection/>
    </xf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4" fillId="27" borderId="8" applyNumberFormat="0" applyAlignment="0" applyProtection="0"/>
    <xf numFmtId="0" fontId="6" fillId="0" borderId="1">
      <alignment horizontal="center" wrapText="1"/>
      <protection/>
    </xf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9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1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52" fillId="0" borderId="0" xfId="0" applyFont="1" applyAlignment="1">
      <alignment horizontal="left" vertical="top" wrapText="1"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2" xfId="68" applyFont="1" applyBorder="1">
      <alignment horizontal="right" inden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3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3"/>
  <sheetViews>
    <sheetView showGridLines="0" tabSelected="1" zoomScale="104" zoomScaleNormal="104" zoomScalePageLayoutView="0" workbookViewId="0" topLeftCell="A1">
      <selection activeCell="C166" sqref="C166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102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402</v>
      </c>
      <c r="B2" s="53"/>
      <c r="D2" s="56"/>
      <c r="F2" s="58" t="s">
        <v>187</v>
      </c>
      <c r="G2" s="58"/>
      <c r="I2" s="59"/>
      <c r="J2" s="57"/>
      <c r="K2" s="57" t="s">
        <v>403</v>
      </c>
      <c r="L2" s="57"/>
      <c r="M2" s="52"/>
    </row>
    <row r="3" spans="1:13" s="49" customFormat="1" ht="12">
      <c r="A3" s="57" t="s">
        <v>404</v>
      </c>
      <c r="E3" s="52"/>
      <c r="F3" s="52"/>
      <c r="G3" s="52"/>
      <c r="H3" s="52"/>
      <c r="I3" s="52"/>
      <c r="J3" s="57"/>
      <c r="K3" s="57" t="s">
        <v>112</v>
      </c>
      <c r="L3" s="57"/>
      <c r="M3" s="52"/>
    </row>
    <row r="4" spans="1:13" s="49" customFormat="1" ht="12">
      <c r="A4" s="52"/>
      <c r="B4" s="52"/>
      <c r="C4" s="52"/>
      <c r="F4" s="60" t="s">
        <v>101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188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100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418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3" t="s">
        <v>420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2" ht="12" customHeight="1">
      <c r="A11" s="66" t="s">
        <v>407</v>
      </c>
      <c r="B11" s="67"/>
      <c r="C11" s="94">
        <v>2195696</v>
      </c>
      <c r="D11" s="94"/>
      <c r="E11" s="94"/>
      <c r="F11" s="57" t="s">
        <v>406</v>
      </c>
      <c r="G11" s="68"/>
      <c r="H11" s="68"/>
      <c r="I11" s="88" t="s">
        <v>674</v>
      </c>
      <c r="J11" s="88"/>
      <c r="K11" s="88"/>
      <c r="L11" s="88"/>
    </row>
    <row r="12" spans="1:12" ht="12" customHeight="1">
      <c r="A12" s="66" t="s">
        <v>417</v>
      </c>
      <c r="B12" s="67"/>
      <c r="C12" s="69"/>
      <c r="D12" s="95">
        <v>397962</v>
      </c>
      <c r="E12" s="95"/>
      <c r="F12" s="57" t="s">
        <v>406</v>
      </c>
      <c r="G12" s="68"/>
      <c r="H12" s="68"/>
      <c r="I12" s="88"/>
      <c r="J12" s="88"/>
      <c r="K12" s="88"/>
      <c r="L12" s="88"/>
    </row>
    <row r="13" spans="1:12" ht="12" customHeight="1">
      <c r="A13" s="66" t="s">
        <v>103</v>
      </c>
      <c r="B13" s="46"/>
      <c r="C13" s="70"/>
      <c r="D13" s="71"/>
      <c r="E13" s="72"/>
      <c r="F13" s="73"/>
      <c r="G13" s="74"/>
      <c r="H13" s="74"/>
      <c r="I13" s="88"/>
      <c r="J13" s="88"/>
      <c r="K13" s="88"/>
      <c r="L13" s="88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406</v>
      </c>
    </row>
    <row r="15" spans="1:14" ht="12.75" customHeight="1">
      <c r="A15" s="91" t="s">
        <v>189</v>
      </c>
      <c r="B15" s="91" t="s">
        <v>414</v>
      </c>
      <c r="C15" s="89" t="s">
        <v>419</v>
      </c>
      <c r="D15" s="89" t="s">
        <v>415</v>
      </c>
      <c r="E15" s="100" t="s">
        <v>104</v>
      </c>
      <c r="F15" s="101"/>
      <c r="G15" s="102"/>
      <c r="H15" s="89" t="s">
        <v>401</v>
      </c>
      <c r="I15" s="100" t="s">
        <v>105</v>
      </c>
      <c r="J15" s="106"/>
      <c r="K15" s="106"/>
      <c r="L15" s="97"/>
      <c r="M15" s="96" t="s">
        <v>416</v>
      </c>
      <c r="N15" s="97"/>
    </row>
    <row r="16" spans="1:14" s="50" customFormat="1" ht="38.25" customHeight="1">
      <c r="A16" s="92"/>
      <c r="B16" s="92"/>
      <c r="C16" s="92"/>
      <c r="D16" s="92"/>
      <c r="E16" s="103"/>
      <c r="F16" s="104"/>
      <c r="G16" s="105"/>
      <c r="H16" s="92"/>
      <c r="I16" s="98"/>
      <c r="J16" s="107"/>
      <c r="K16" s="107"/>
      <c r="L16" s="99"/>
      <c r="M16" s="98"/>
      <c r="N16" s="99"/>
    </row>
    <row r="17" spans="1:14" s="50" customFormat="1" ht="12.75" customHeight="1">
      <c r="A17" s="92"/>
      <c r="B17" s="92"/>
      <c r="C17" s="92"/>
      <c r="D17" s="92"/>
      <c r="E17" s="75" t="s">
        <v>409</v>
      </c>
      <c r="F17" s="75" t="s">
        <v>411</v>
      </c>
      <c r="G17" s="89" t="s">
        <v>413</v>
      </c>
      <c r="H17" s="92"/>
      <c r="I17" s="89" t="s">
        <v>409</v>
      </c>
      <c r="J17" s="89" t="s">
        <v>412</v>
      </c>
      <c r="K17" s="75" t="s">
        <v>411</v>
      </c>
      <c r="L17" s="89" t="s">
        <v>413</v>
      </c>
      <c r="M17" s="91" t="s">
        <v>405</v>
      </c>
      <c r="N17" s="89" t="s">
        <v>409</v>
      </c>
    </row>
    <row r="18" spans="1:14" s="50" customFormat="1" ht="11.25" customHeight="1">
      <c r="A18" s="90"/>
      <c r="B18" s="90"/>
      <c r="C18" s="90"/>
      <c r="D18" s="90"/>
      <c r="E18" s="76" t="s">
        <v>408</v>
      </c>
      <c r="F18" s="75" t="s">
        <v>410</v>
      </c>
      <c r="G18" s="90"/>
      <c r="H18" s="90"/>
      <c r="I18" s="90"/>
      <c r="J18" s="90"/>
      <c r="K18" s="75" t="s">
        <v>410</v>
      </c>
      <c r="L18" s="90"/>
      <c r="M18" s="90"/>
      <c r="N18" s="90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109" t="s">
        <v>422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</row>
    <row r="21" spans="1:14" ht="60">
      <c r="A21" s="78">
        <v>1</v>
      </c>
      <c r="B21" s="79" t="s">
        <v>423</v>
      </c>
      <c r="C21" s="79" t="s">
        <v>424</v>
      </c>
      <c r="D21" s="78">
        <v>6.3113</v>
      </c>
      <c r="E21" s="80" t="s">
        <v>425</v>
      </c>
      <c r="F21" s="80">
        <v>30.64</v>
      </c>
      <c r="G21" s="80"/>
      <c r="H21" s="81" t="s">
        <v>426</v>
      </c>
      <c r="I21" s="82">
        <v>13457</v>
      </c>
      <c r="J21" s="80">
        <v>12880</v>
      </c>
      <c r="K21" s="80">
        <v>577</v>
      </c>
      <c r="L21" s="80" t="str">
        <f>IF(6.3113*0=0," ",TEXT(,ROUND((6.3113*0*1),2)))</f>
        <v> </v>
      </c>
      <c r="M21" s="80">
        <v>15.9</v>
      </c>
      <c r="N21" s="80">
        <v>100.35</v>
      </c>
    </row>
    <row r="22" spans="1:14" ht="72">
      <c r="A22" s="78">
        <v>2</v>
      </c>
      <c r="B22" s="79" t="s">
        <v>427</v>
      </c>
      <c r="C22" s="79" t="s">
        <v>428</v>
      </c>
      <c r="D22" s="78" t="s">
        <v>429</v>
      </c>
      <c r="E22" s="80" t="s">
        <v>430</v>
      </c>
      <c r="F22" s="80">
        <v>0.2</v>
      </c>
      <c r="G22" s="80"/>
      <c r="H22" s="81" t="s">
        <v>431</v>
      </c>
      <c r="I22" s="82">
        <v>1053</v>
      </c>
      <c r="J22" s="80">
        <v>1053</v>
      </c>
      <c r="K22" s="80"/>
      <c r="L22" s="80" t="str">
        <f>IF(0.897*0=0," ",TEXT(,ROUND((0.897*0*1),2)))</f>
        <v> </v>
      </c>
      <c r="M22" s="80">
        <v>9.1</v>
      </c>
      <c r="N22" s="80">
        <v>8.16</v>
      </c>
    </row>
    <row r="23" spans="1:14" ht="60">
      <c r="A23" s="78">
        <v>3</v>
      </c>
      <c r="B23" s="79" t="s">
        <v>432</v>
      </c>
      <c r="C23" s="79" t="s">
        <v>433</v>
      </c>
      <c r="D23" s="78">
        <v>6.1845</v>
      </c>
      <c r="E23" s="80" t="s">
        <v>434</v>
      </c>
      <c r="F23" s="80" t="s">
        <v>435</v>
      </c>
      <c r="G23" s="80"/>
      <c r="H23" s="81" t="s">
        <v>436</v>
      </c>
      <c r="I23" s="82">
        <v>15196</v>
      </c>
      <c r="J23" s="80">
        <v>12239</v>
      </c>
      <c r="K23" s="80" t="s">
        <v>437</v>
      </c>
      <c r="L23" s="80" t="str">
        <f>IF(6.1845*0=0," ",TEXT(,ROUND((6.1845*0*1),2)))</f>
        <v> </v>
      </c>
      <c r="M23" s="80" t="s">
        <v>438</v>
      </c>
      <c r="N23" s="80" t="s">
        <v>439</v>
      </c>
    </row>
    <row r="24" spans="1:14" ht="72">
      <c r="A24" s="78">
        <v>4</v>
      </c>
      <c r="B24" s="79" t="s">
        <v>440</v>
      </c>
      <c r="C24" s="79" t="s">
        <v>441</v>
      </c>
      <c r="D24" s="78">
        <v>6.3113</v>
      </c>
      <c r="E24" s="80" t="s">
        <v>442</v>
      </c>
      <c r="F24" s="80" t="s">
        <v>443</v>
      </c>
      <c r="G24" s="80"/>
      <c r="H24" s="81" t="s">
        <v>436</v>
      </c>
      <c r="I24" s="82">
        <v>25503</v>
      </c>
      <c r="J24" s="80">
        <v>22750</v>
      </c>
      <c r="K24" s="80" t="s">
        <v>444</v>
      </c>
      <c r="L24" s="80" t="str">
        <f>IF(6.3113*0=0," ",TEXT(,ROUND((6.3113*0*1),2)))</f>
        <v> </v>
      </c>
      <c r="M24" s="80" t="s">
        <v>445</v>
      </c>
      <c r="N24" s="80" t="s">
        <v>446</v>
      </c>
    </row>
    <row r="25" spans="1:14" ht="60">
      <c r="A25" s="78">
        <v>5</v>
      </c>
      <c r="B25" s="79" t="s">
        <v>447</v>
      </c>
      <c r="C25" s="79" t="s">
        <v>448</v>
      </c>
      <c r="D25" s="78">
        <v>6.3113</v>
      </c>
      <c r="E25" s="80" t="s">
        <v>449</v>
      </c>
      <c r="F25" s="80" t="s">
        <v>450</v>
      </c>
      <c r="G25" s="80"/>
      <c r="H25" s="81" t="s">
        <v>436</v>
      </c>
      <c r="I25" s="82">
        <v>7327</v>
      </c>
      <c r="J25" s="80">
        <v>5560</v>
      </c>
      <c r="K25" s="80" t="s">
        <v>451</v>
      </c>
      <c r="L25" s="80" t="str">
        <f>IF(6.3113*0=0," ",TEXT(,ROUND((6.3113*0*1),2)))</f>
        <v> </v>
      </c>
      <c r="M25" s="80" t="s">
        <v>452</v>
      </c>
      <c r="N25" s="80" t="s">
        <v>453</v>
      </c>
    </row>
    <row r="26" spans="1:14" ht="60">
      <c r="A26" s="78">
        <v>6</v>
      </c>
      <c r="B26" s="79" t="s">
        <v>454</v>
      </c>
      <c r="C26" s="79" t="s">
        <v>455</v>
      </c>
      <c r="D26" s="78">
        <v>0.04</v>
      </c>
      <c r="E26" s="80" t="s">
        <v>456</v>
      </c>
      <c r="F26" s="80">
        <v>10.37</v>
      </c>
      <c r="G26" s="80"/>
      <c r="H26" s="81" t="s">
        <v>457</v>
      </c>
      <c r="I26" s="82">
        <v>1629</v>
      </c>
      <c r="J26" s="80">
        <v>1629</v>
      </c>
      <c r="K26" s="80"/>
      <c r="L26" s="80" t="str">
        <f>IF(0.04*0=0," ",TEXT(,ROUND((0.04*0*1),2)))</f>
        <v> </v>
      </c>
      <c r="M26" s="80">
        <v>309.3</v>
      </c>
      <c r="N26" s="80">
        <v>12.37</v>
      </c>
    </row>
    <row r="27" spans="1:14" ht="60">
      <c r="A27" s="78">
        <v>7</v>
      </c>
      <c r="B27" s="79" t="s">
        <v>458</v>
      </c>
      <c r="C27" s="79" t="s">
        <v>459</v>
      </c>
      <c r="D27" s="78" t="s">
        <v>460</v>
      </c>
      <c r="E27" s="80" t="s">
        <v>461</v>
      </c>
      <c r="F27" s="80" t="s">
        <v>462</v>
      </c>
      <c r="G27" s="80"/>
      <c r="H27" s="81" t="s">
        <v>463</v>
      </c>
      <c r="I27" s="82">
        <v>12394</v>
      </c>
      <c r="J27" s="80">
        <v>7485</v>
      </c>
      <c r="K27" s="80" t="s">
        <v>464</v>
      </c>
      <c r="L27" s="80" t="str">
        <f>IF(6.23*0=0," ",TEXT(,ROUND((6.23*0*1),2)))</f>
        <v> </v>
      </c>
      <c r="M27" s="80" t="s">
        <v>465</v>
      </c>
      <c r="N27" s="80" t="s">
        <v>466</v>
      </c>
    </row>
    <row r="28" spans="1:14" ht="96">
      <c r="A28" s="78">
        <v>8</v>
      </c>
      <c r="B28" s="79" t="s">
        <v>467</v>
      </c>
      <c r="C28" s="79" t="s">
        <v>468</v>
      </c>
      <c r="D28" s="78">
        <v>0.23315</v>
      </c>
      <c r="E28" s="80" t="s">
        <v>469</v>
      </c>
      <c r="F28" s="80" t="s">
        <v>470</v>
      </c>
      <c r="G28" s="80"/>
      <c r="H28" s="81" t="s">
        <v>471</v>
      </c>
      <c r="I28" s="82">
        <v>2232</v>
      </c>
      <c r="J28" s="80">
        <v>2056</v>
      </c>
      <c r="K28" s="80" t="s">
        <v>472</v>
      </c>
      <c r="L28" s="80" t="str">
        <f>IF(0.23315*0=0," ",TEXT(,ROUND((0.23315*0*5.35),2)))</f>
        <v> </v>
      </c>
      <c r="M28" s="80" t="s">
        <v>473</v>
      </c>
      <c r="N28" s="80" t="s">
        <v>474</v>
      </c>
    </row>
    <row r="29" spans="1:14" ht="60">
      <c r="A29" s="78">
        <v>9</v>
      </c>
      <c r="B29" s="79" t="s">
        <v>475</v>
      </c>
      <c r="C29" s="79" t="s">
        <v>476</v>
      </c>
      <c r="D29" s="78">
        <v>0.1618</v>
      </c>
      <c r="E29" s="80" t="s">
        <v>477</v>
      </c>
      <c r="F29" s="80" t="s">
        <v>478</v>
      </c>
      <c r="G29" s="80"/>
      <c r="H29" s="81" t="s">
        <v>479</v>
      </c>
      <c r="I29" s="82">
        <v>836</v>
      </c>
      <c r="J29" s="80">
        <v>592</v>
      </c>
      <c r="K29" s="80" t="s">
        <v>480</v>
      </c>
      <c r="L29" s="80" t="str">
        <f>IF(0.1618*0=0," ",TEXT(,ROUND((0.1618*0*1),2)))</f>
        <v> </v>
      </c>
      <c r="M29" s="80" t="s">
        <v>481</v>
      </c>
      <c r="N29" s="80" t="s">
        <v>482</v>
      </c>
    </row>
    <row r="30" spans="1:14" ht="144">
      <c r="A30" s="78">
        <v>10</v>
      </c>
      <c r="B30" s="79" t="s">
        <v>483</v>
      </c>
      <c r="C30" s="79" t="s">
        <v>484</v>
      </c>
      <c r="D30" s="78">
        <v>2</v>
      </c>
      <c r="E30" s="80" t="s">
        <v>485</v>
      </c>
      <c r="F30" s="80"/>
      <c r="G30" s="80">
        <v>4.93</v>
      </c>
      <c r="H30" s="81" t="s">
        <v>486</v>
      </c>
      <c r="I30" s="82">
        <v>8166</v>
      </c>
      <c r="J30" s="80">
        <v>8110</v>
      </c>
      <c r="K30" s="80"/>
      <c r="L30" s="80" t="str">
        <f>IF(2*4.93=0," ",TEXT(,ROUND((2*4.93*5.58),2)))</f>
        <v>55,02</v>
      </c>
      <c r="M30" s="80">
        <v>23.8</v>
      </c>
      <c r="N30" s="80">
        <v>47.6</v>
      </c>
    </row>
    <row r="31" spans="1:14" ht="72">
      <c r="A31" s="78">
        <v>11</v>
      </c>
      <c r="B31" s="79" t="s">
        <v>487</v>
      </c>
      <c r="C31" s="79" t="s">
        <v>488</v>
      </c>
      <c r="D31" s="78">
        <v>1</v>
      </c>
      <c r="E31" s="80">
        <v>42.98</v>
      </c>
      <c r="F31" s="80">
        <v>42.98</v>
      </c>
      <c r="G31" s="80"/>
      <c r="H31" s="81" t="s">
        <v>489</v>
      </c>
      <c r="I31" s="82">
        <v>43</v>
      </c>
      <c r="J31" s="80"/>
      <c r="K31" s="80">
        <v>43</v>
      </c>
      <c r="L31" s="80" t="str">
        <f>IF(1*0=0," ",TEXT(,ROUND((1*0*1),2)))</f>
        <v> </v>
      </c>
      <c r="M31" s="80"/>
      <c r="N31" s="80"/>
    </row>
    <row r="32" spans="1:14" ht="72">
      <c r="A32" s="78">
        <v>12</v>
      </c>
      <c r="B32" s="79" t="s">
        <v>490</v>
      </c>
      <c r="C32" s="79" t="s">
        <v>491</v>
      </c>
      <c r="D32" s="78">
        <v>54.86</v>
      </c>
      <c r="E32" s="80">
        <v>3.28</v>
      </c>
      <c r="F32" s="80">
        <v>3.28</v>
      </c>
      <c r="G32" s="80"/>
      <c r="H32" s="81" t="s">
        <v>492</v>
      </c>
      <c r="I32" s="82">
        <v>2081</v>
      </c>
      <c r="J32" s="80"/>
      <c r="K32" s="80">
        <v>2081</v>
      </c>
      <c r="L32" s="80" t="str">
        <f>IF(54.86*0=0," ",TEXT(,ROUND((54.86*0*1),2)))</f>
        <v> </v>
      </c>
      <c r="M32" s="80"/>
      <c r="N32" s="80"/>
    </row>
    <row r="33" spans="1:14" ht="84">
      <c r="A33" s="78">
        <v>13</v>
      </c>
      <c r="B33" s="79" t="s">
        <v>493</v>
      </c>
      <c r="C33" s="79" t="s">
        <v>494</v>
      </c>
      <c r="D33" s="78">
        <v>55.86</v>
      </c>
      <c r="E33" s="80">
        <v>13.38</v>
      </c>
      <c r="F33" s="80">
        <v>13.38</v>
      </c>
      <c r="G33" s="80"/>
      <c r="H33" s="81" t="s">
        <v>495</v>
      </c>
      <c r="I33" s="82">
        <v>7149</v>
      </c>
      <c r="J33" s="80"/>
      <c r="K33" s="80">
        <v>7149</v>
      </c>
      <c r="L33" s="80" t="str">
        <f>IF(55.86*0=0," ",TEXT(,ROUND((55.86*0*1),2)))</f>
        <v> </v>
      </c>
      <c r="M33" s="80"/>
      <c r="N33" s="80"/>
    </row>
    <row r="34" spans="1:14" ht="24">
      <c r="A34" s="108" t="s">
        <v>496</v>
      </c>
      <c r="B34" s="108"/>
      <c r="C34" s="108"/>
      <c r="D34" s="108"/>
      <c r="E34" s="108"/>
      <c r="F34" s="108"/>
      <c r="G34" s="108"/>
      <c r="H34" s="108"/>
      <c r="I34" s="82">
        <v>7037</v>
      </c>
      <c r="J34" s="80">
        <v>4520</v>
      </c>
      <c r="K34" s="80" t="s">
        <v>497</v>
      </c>
      <c r="L34" s="80">
        <v>10</v>
      </c>
      <c r="M34" s="80"/>
      <c r="N34" s="80" t="s">
        <v>498</v>
      </c>
    </row>
    <row r="35" spans="1:14" ht="24">
      <c r="A35" s="108" t="s">
        <v>499</v>
      </c>
      <c r="B35" s="108"/>
      <c r="C35" s="108"/>
      <c r="D35" s="108"/>
      <c r="E35" s="108"/>
      <c r="F35" s="108"/>
      <c r="G35" s="108"/>
      <c r="H35" s="108"/>
      <c r="I35" s="82">
        <v>97066</v>
      </c>
      <c r="J35" s="80">
        <v>74354</v>
      </c>
      <c r="K35" s="80" t="s">
        <v>500</v>
      </c>
      <c r="L35" s="80">
        <v>56</v>
      </c>
      <c r="M35" s="80"/>
      <c r="N35" s="80" t="s">
        <v>498</v>
      </c>
    </row>
    <row r="36" spans="1:14" ht="12">
      <c r="A36" s="108" t="s">
        <v>501</v>
      </c>
      <c r="B36" s="108"/>
      <c r="C36" s="108"/>
      <c r="D36" s="108"/>
      <c r="E36" s="108"/>
      <c r="F36" s="108"/>
      <c r="G36" s="108"/>
      <c r="H36" s="108"/>
      <c r="I36" s="82">
        <v>58388</v>
      </c>
      <c r="J36" s="80"/>
      <c r="K36" s="80"/>
      <c r="L36" s="80"/>
      <c r="M36" s="80"/>
      <c r="N36" s="80"/>
    </row>
    <row r="37" spans="1:14" ht="12">
      <c r="A37" s="108" t="s">
        <v>502</v>
      </c>
      <c r="B37" s="108"/>
      <c r="C37" s="108"/>
      <c r="D37" s="108"/>
      <c r="E37" s="108"/>
      <c r="F37" s="108"/>
      <c r="G37" s="108"/>
      <c r="H37" s="108"/>
      <c r="I37" s="82">
        <v>39475</v>
      </c>
      <c r="J37" s="80"/>
      <c r="K37" s="80"/>
      <c r="L37" s="80"/>
      <c r="M37" s="80"/>
      <c r="N37" s="80"/>
    </row>
    <row r="38" spans="1:14" ht="12">
      <c r="A38" s="109" t="s">
        <v>503</v>
      </c>
      <c r="B38" s="109"/>
      <c r="C38" s="109"/>
      <c r="D38" s="109"/>
      <c r="E38" s="109"/>
      <c r="F38" s="109"/>
      <c r="G38" s="109"/>
      <c r="H38" s="109"/>
      <c r="I38" s="82"/>
      <c r="J38" s="80"/>
      <c r="K38" s="80"/>
      <c r="L38" s="80"/>
      <c r="M38" s="80"/>
      <c r="N38" s="80"/>
    </row>
    <row r="39" spans="1:14" ht="24">
      <c r="A39" s="108" t="s">
        <v>504</v>
      </c>
      <c r="B39" s="108"/>
      <c r="C39" s="108"/>
      <c r="D39" s="108"/>
      <c r="E39" s="108"/>
      <c r="F39" s="108"/>
      <c r="G39" s="108"/>
      <c r="H39" s="108"/>
      <c r="I39" s="82">
        <v>176220</v>
      </c>
      <c r="J39" s="80"/>
      <c r="K39" s="80"/>
      <c r="L39" s="80"/>
      <c r="M39" s="80"/>
      <c r="N39" s="80" t="s">
        <v>505</v>
      </c>
    </row>
    <row r="40" spans="1:14" ht="12">
      <c r="A40" s="108" t="s">
        <v>506</v>
      </c>
      <c r="B40" s="108"/>
      <c r="C40" s="108"/>
      <c r="D40" s="108"/>
      <c r="E40" s="108"/>
      <c r="F40" s="108"/>
      <c r="G40" s="108"/>
      <c r="H40" s="108"/>
      <c r="I40" s="82">
        <v>18709</v>
      </c>
      <c r="J40" s="80"/>
      <c r="K40" s="80"/>
      <c r="L40" s="80"/>
      <c r="M40" s="80"/>
      <c r="N40" s="80">
        <v>47.6</v>
      </c>
    </row>
    <row r="41" spans="1:14" ht="24">
      <c r="A41" s="108" t="s">
        <v>507</v>
      </c>
      <c r="B41" s="108"/>
      <c r="C41" s="108"/>
      <c r="D41" s="108"/>
      <c r="E41" s="108"/>
      <c r="F41" s="108"/>
      <c r="G41" s="108"/>
      <c r="H41" s="108"/>
      <c r="I41" s="82">
        <v>194929</v>
      </c>
      <c r="J41" s="80"/>
      <c r="K41" s="80"/>
      <c r="L41" s="80"/>
      <c r="M41" s="80"/>
      <c r="N41" s="80" t="s">
        <v>498</v>
      </c>
    </row>
    <row r="42" spans="1:14" ht="12">
      <c r="A42" s="108" t="s">
        <v>508</v>
      </c>
      <c r="B42" s="108"/>
      <c r="C42" s="108"/>
      <c r="D42" s="108"/>
      <c r="E42" s="108"/>
      <c r="F42" s="108"/>
      <c r="G42" s="108"/>
      <c r="H42" s="108"/>
      <c r="I42" s="82"/>
      <c r="J42" s="80"/>
      <c r="K42" s="80"/>
      <c r="L42" s="80"/>
      <c r="M42" s="80"/>
      <c r="N42" s="80"/>
    </row>
    <row r="43" spans="1:14" ht="12">
      <c r="A43" s="108" t="s">
        <v>509</v>
      </c>
      <c r="B43" s="108"/>
      <c r="C43" s="108"/>
      <c r="D43" s="108"/>
      <c r="E43" s="108"/>
      <c r="F43" s="108"/>
      <c r="G43" s="108"/>
      <c r="H43" s="108"/>
      <c r="I43" s="82">
        <v>56</v>
      </c>
      <c r="J43" s="80"/>
      <c r="K43" s="80"/>
      <c r="L43" s="80"/>
      <c r="M43" s="80"/>
      <c r="N43" s="80"/>
    </row>
    <row r="44" spans="1:14" ht="12">
      <c r="A44" s="108" t="s">
        <v>510</v>
      </c>
      <c r="B44" s="108"/>
      <c r="C44" s="108"/>
      <c r="D44" s="108"/>
      <c r="E44" s="108"/>
      <c r="F44" s="108"/>
      <c r="G44" s="108"/>
      <c r="H44" s="108"/>
      <c r="I44" s="82">
        <v>22656</v>
      </c>
      <c r="J44" s="80"/>
      <c r="K44" s="80"/>
      <c r="L44" s="80"/>
      <c r="M44" s="80"/>
      <c r="N44" s="80"/>
    </row>
    <row r="45" spans="1:14" ht="12">
      <c r="A45" s="108" t="s">
        <v>511</v>
      </c>
      <c r="B45" s="108"/>
      <c r="C45" s="108"/>
      <c r="D45" s="108"/>
      <c r="E45" s="108"/>
      <c r="F45" s="108"/>
      <c r="G45" s="108"/>
      <c r="H45" s="108"/>
      <c r="I45" s="82">
        <v>77396</v>
      </c>
      <c r="J45" s="80"/>
      <c r="K45" s="80"/>
      <c r="L45" s="80"/>
      <c r="M45" s="80"/>
      <c r="N45" s="80"/>
    </row>
    <row r="46" spans="1:14" ht="12">
      <c r="A46" s="108" t="s">
        <v>512</v>
      </c>
      <c r="B46" s="108"/>
      <c r="C46" s="108"/>
      <c r="D46" s="108"/>
      <c r="E46" s="108"/>
      <c r="F46" s="108"/>
      <c r="G46" s="108"/>
      <c r="H46" s="108"/>
      <c r="I46" s="82">
        <v>58388</v>
      </c>
      <c r="J46" s="80"/>
      <c r="K46" s="80"/>
      <c r="L46" s="80"/>
      <c r="M46" s="80"/>
      <c r="N46" s="80"/>
    </row>
    <row r="47" spans="1:14" ht="12">
      <c r="A47" s="108" t="s">
        <v>513</v>
      </c>
      <c r="B47" s="108"/>
      <c r="C47" s="108"/>
      <c r="D47" s="108"/>
      <c r="E47" s="108"/>
      <c r="F47" s="108"/>
      <c r="G47" s="108"/>
      <c r="H47" s="108"/>
      <c r="I47" s="82">
        <v>39475</v>
      </c>
      <c r="J47" s="80"/>
      <c r="K47" s="80"/>
      <c r="L47" s="80"/>
      <c r="M47" s="80"/>
      <c r="N47" s="80"/>
    </row>
    <row r="48" spans="1:14" ht="24">
      <c r="A48" s="109" t="s">
        <v>514</v>
      </c>
      <c r="B48" s="109"/>
      <c r="C48" s="109"/>
      <c r="D48" s="109"/>
      <c r="E48" s="109"/>
      <c r="F48" s="109"/>
      <c r="G48" s="109"/>
      <c r="H48" s="109"/>
      <c r="I48" s="82">
        <v>194929</v>
      </c>
      <c r="J48" s="80"/>
      <c r="K48" s="80"/>
      <c r="L48" s="80"/>
      <c r="M48" s="80"/>
      <c r="N48" s="80" t="s">
        <v>498</v>
      </c>
    </row>
    <row r="49" spans="1:14" ht="17.25" customHeight="1">
      <c r="A49" s="109" t="s">
        <v>515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</row>
    <row r="50" spans="1:14" ht="60">
      <c r="A50" s="78">
        <v>14</v>
      </c>
      <c r="B50" s="79" t="s">
        <v>516</v>
      </c>
      <c r="C50" s="79" t="s">
        <v>517</v>
      </c>
      <c r="D50" s="78">
        <v>0.1</v>
      </c>
      <c r="E50" s="80" t="s">
        <v>518</v>
      </c>
      <c r="F50" s="80" t="s">
        <v>519</v>
      </c>
      <c r="G50" s="80"/>
      <c r="H50" s="81" t="s">
        <v>520</v>
      </c>
      <c r="I50" s="82">
        <v>358</v>
      </c>
      <c r="J50" s="80">
        <v>181</v>
      </c>
      <c r="K50" s="80" t="s">
        <v>521</v>
      </c>
      <c r="L50" s="80" t="str">
        <f>IF(0.1*0=0," ",TEXT(,ROUND((0.1*0*1),2)))</f>
        <v> </v>
      </c>
      <c r="M50" s="80" t="s">
        <v>522</v>
      </c>
      <c r="N50" s="80" t="s">
        <v>523</v>
      </c>
    </row>
    <row r="51" spans="1:14" ht="132">
      <c r="A51" s="78">
        <v>15</v>
      </c>
      <c r="B51" s="79" t="s">
        <v>524</v>
      </c>
      <c r="C51" s="79" t="s">
        <v>525</v>
      </c>
      <c r="D51" s="78">
        <v>2.762</v>
      </c>
      <c r="E51" s="80" t="s">
        <v>526</v>
      </c>
      <c r="F51" s="80" t="s">
        <v>527</v>
      </c>
      <c r="G51" s="80">
        <v>85.51</v>
      </c>
      <c r="H51" s="81" t="s">
        <v>528</v>
      </c>
      <c r="I51" s="82">
        <v>18502</v>
      </c>
      <c r="J51" s="80">
        <v>7205</v>
      </c>
      <c r="K51" s="80" t="s">
        <v>529</v>
      </c>
      <c r="L51" s="80" t="str">
        <f>IF(2.762*85.51=0," ",TEXT(,ROUND((2.762*85.51*5.55),2)))</f>
        <v>1310,79</v>
      </c>
      <c r="M51" s="80" t="s">
        <v>530</v>
      </c>
      <c r="N51" s="80" t="s">
        <v>531</v>
      </c>
    </row>
    <row r="52" spans="1:14" ht="84">
      <c r="A52" s="78">
        <v>16</v>
      </c>
      <c r="B52" s="79" t="s">
        <v>532</v>
      </c>
      <c r="C52" s="79" t="s">
        <v>533</v>
      </c>
      <c r="D52" s="78">
        <v>2.762</v>
      </c>
      <c r="E52" s="80">
        <v>6965</v>
      </c>
      <c r="F52" s="80"/>
      <c r="G52" s="80">
        <v>6965</v>
      </c>
      <c r="H52" s="81" t="s">
        <v>534</v>
      </c>
      <c r="I52" s="82">
        <v>191043</v>
      </c>
      <c r="J52" s="80"/>
      <c r="K52" s="80"/>
      <c r="L52" s="80" t="str">
        <f>IF(2.762*6965=0," ",TEXT(,ROUND((2.762*6965*9.931),2)))</f>
        <v>191045,92</v>
      </c>
      <c r="M52" s="80"/>
      <c r="N52" s="80"/>
    </row>
    <row r="53" spans="1:14" ht="156">
      <c r="A53" s="78">
        <v>17</v>
      </c>
      <c r="B53" s="79" t="s">
        <v>535</v>
      </c>
      <c r="C53" s="79" t="s">
        <v>536</v>
      </c>
      <c r="D53" s="78">
        <v>0.9683</v>
      </c>
      <c r="E53" s="80" t="s">
        <v>537</v>
      </c>
      <c r="F53" s="80">
        <v>488.3</v>
      </c>
      <c r="G53" s="80">
        <v>4594.92</v>
      </c>
      <c r="H53" s="81" t="s">
        <v>538</v>
      </c>
      <c r="I53" s="82">
        <v>39748</v>
      </c>
      <c r="J53" s="80">
        <v>22306</v>
      </c>
      <c r="K53" s="80">
        <v>5293</v>
      </c>
      <c r="L53" s="80" t="str">
        <f>IF(0.9683*4594.92=0," ",TEXT(,ROUND((0.9683*4594.92*2.73),2)))</f>
        <v>12146,48</v>
      </c>
      <c r="M53" s="80">
        <v>165.5885</v>
      </c>
      <c r="N53" s="80">
        <v>160.34</v>
      </c>
    </row>
    <row r="54" spans="1:14" ht="60">
      <c r="A54" s="78">
        <v>18</v>
      </c>
      <c r="B54" s="79" t="s">
        <v>539</v>
      </c>
      <c r="C54" s="79" t="s">
        <v>540</v>
      </c>
      <c r="D54" s="78">
        <v>-0.213</v>
      </c>
      <c r="E54" s="80">
        <v>20886</v>
      </c>
      <c r="F54" s="80"/>
      <c r="G54" s="80">
        <v>20886</v>
      </c>
      <c r="H54" s="81" t="s">
        <v>541</v>
      </c>
      <c r="I54" s="82">
        <v>-12146</v>
      </c>
      <c r="J54" s="80"/>
      <c r="K54" s="80"/>
      <c r="L54" s="80" t="str">
        <f>IF(-0.213*20886=0," ",TEXT(,ROUND((-0.213*20886*2.73),2)))</f>
        <v>-12145</v>
      </c>
      <c r="M54" s="80"/>
      <c r="N54" s="80"/>
    </row>
    <row r="55" spans="1:14" ht="24">
      <c r="A55" s="78">
        <v>19</v>
      </c>
      <c r="B55" s="79" t="s">
        <v>542</v>
      </c>
      <c r="C55" s="79" t="s">
        <v>543</v>
      </c>
      <c r="D55" s="78">
        <v>200.4</v>
      </c>
      <c r="E55" s="80">
        <v>44.8</v>
      </c>
      <c r="F55" s="80"/>
      <c r="G55" s="80">
        <v>44.8</v>
      </c>
      <c r="H55" s="81" t="s">
        <v>544</v>
      </c>
      <c r="I55" s="82">
        <v>50097</v>
      </c>
      <c r="J55" s="80"/>
      <c r="K55" s="80"/>
      <c r="L55" s="80" t="str">
        <f>IF(200.4*44.8=0," ",TEXT(,ROUND((200.4*44.8*5.58),2)))</f>
        <v>50096,79</v>
      </c>
      <c r="M55" s="80"/>
      <c r="N55" s="80"/>
    </row>
    <row r="56" spans="1:14" ht="60">
      <c r="A56" s="78">
        <v>20</v>
      </c>
      <c r="B56" s="79" t="s">
        <v>545</v>
      </c>
      <c r="C56" s="79" t="s">
        <v>546</v>
      </c>
      <c r="D56" s="78">
        <v>0.042</v>
      </c>
      <c r="E56" s="80" t="s">
        <v>547</v>
      </c>
      <c r="F56" s="80" t="s">
        <v>548</v>
      </c>
      <c r="G56" s="80">
        <v>836.16</v>
      </c>
      <c r="H56" s="81" t="s">
        <v>549</v>
      </c>
      <c r="I56" s="82">
        <v>369</v>
      </c>
      <c r="J56" s="80">
        <v>197</v>
      </c>
      <c r="K56" s="80">
        <v>10</v>
      </c>
      <c r="L56" s="80" t="str">
        <f>IF(0.042*836.16=0," ",TEXT(,ROUND((0.042*836.16*4.63),2)))</f>
        <v>162,6</v>
      </c>
      <c r="M56" s="80" t="s">
        <v>550</v>
      </c>
      <c r="N56" s="80" t="s">
        <v>551</v>
      </c>
    </row>
    <row r="57" spans="1:14" ht="120">
      <c r="A57" s="78">
        <v>21</v>
      </c>
      <c r="B57" s="79" t="s">
        <v>552</v>
      </c>
      <c r="C57" s="79" t="s">
        <v>553</v>
      </c>
      <c r="D57" s="78" t="s">
        <v>554</v>
      </c>
      <c r="E57" s="80" t="s">
        <v>555</v>
      </c>
      <c r="F57" s="80" t="s">
        <v>556</v>
      </c>
      <c r="G57" s="80">
        <v>2062.26</v>
      </c>
      <c r="H57" s="81" t="s">
        <v>557</v>
      </c>
      <c r="I57" s="82">
        <v>294517</v>
      </c>
      <c r="J57" s="80">
        <v>93304</v>
      </c>
      <c r="K57" s="80" t="s">
        <v>558</v>
      </c>
      <c r="L57" s="80" t="str">
        <f>IF(24.639*2062.26=0," ",TEXT(,ROUND((24.639*2062.26*3.71),2)))</f>
        <v>188512,61</v>
      </c>
      <c r="M57" s="80" t="s">
        <v>559</v>
      </c>
      <c r="N57" s="80" t="s">
        <v>560</v>
      </c>
    </row>
    <row r="58" spans="1:14" ht="60">
      <c r="A58" s="78">
        <v>22</v>
      </c>
      <c r="B58" s="79" t="s">
        <v>561</v>
      </c>
      <c r="C58" s="79" t="s">
        <v>562</v>
      </c>
      <c r="D58" s="78">
        <v>2.536</v>
      </c>
      <c r="E58" s="80" t="s">
        <v>563</v>
      </c>
      <c r="F58" s="80" t="s">
        <v>564</v>
      </c>
      <c r="G58" s="80">
        <v>2198.68</v>
      </c>
      <c r="H58" s="81" t="s">
        <v>565</v>
      </c>
      <c r="I58" s="82">
        <v>42298</v>
      </c>
      <c r="J58" s="80">
        <v>10544</v>
      </c>
      <c r="K58" s="80" t="s">
        <v>566</v>
      </c>
      <c r="L58" s="80" t="str">
        <f>IF(2.536*2198.68=0," ",TEXT(,ROUND((2.536*2198.68*5.51),2)))</f>
        <v>30722,95</v>
      </c>
      <c r="M58" s="80" t="s">
        <v>567</v>
      </c>
      <c r="N58" s="80" t="s">
        <v>568</v>
      </c>
    </row>
    <row r="59" spans="1:14" ht="72">
      <c r="A59" s="78">
        <v>23</v>
      </c>
      <c r="B59" s="79" t="s">
        <v>569</v>
      </c>
      <c r="C59" s="79" t="s">
        <v>570</v>
      </c>
      <c r="D59" s="78">
        <v>3.6485</v>
      </c>
      <c r="E59" s="80" t="s">
        <v>571</v>
      </c>
      <c r="F59" s="80" t="s">
        <v>572</v>
      </c>
      <c r="G59" s="80">
        <v>1570.73</v>
      </c>
      <c r="H59" s="81" t="s">
        <v>573</v>
      </c>
      <c r="I59" s="82">
        <v>41208</v>
      </c>
      <c r="J59" s="80">
        <v>10166</v>
      </c>
      <c r="K59" s="80" t="s">
        <v>574</v>
      </c>
      <c r="L59" s="80" t="str">
        <f>IF(3.6485*1570.73=0," ",TEXT(,ROUND((3.6485*1570.73*5.25),2)))</f>
        <v>30086,74</v>
      </c>
      <c r="M59" s="80" t="s">
        <v>575</v>
      </c>
      <c r="N59" s="80" t="s">
        <v>576</v>
      </c>
    </row>
    <row r="60" spans="1:14" ht="144">
      <c r="A60" s="78">
        <v>24</v>
      </c>
      <c r="B60" s="79" t="s">
        <v>577</v>
      </c>
      <c r="C60" s="79" t="s">
        <v>578</v>
      </c>
      <c r="D60" s="78">
        <v>1.156</v>
      </c>
      <c r="E60" s="80" t="s">
        <v>579</v>
      </c>
      <c r="F60" s="80">
        <v>99.76</v>
      </c>
      <c r="G60" s="80">
        <v>4013.93</v>
      </c>
      <c r="H60" s="81" t="s">
        <v>580</v>
      </c>
      <c r="I60" s="82">
        <v>58194</v>
      </c>
      <c r="J60" s="80">
        <v>26682</v>
      </c>
      <c r="K60" s="80">
        <v>1306</v>
      </c>
      <c r="L60" s="80" t="str">
        <f>IF(1.156*4013.93=0," ",TEXT(,ROUND((1.156*4013.93*6.51),2)))</f>
        <v>30207,07</v>
      </c>
      <c r="M60" s="80">
        <v>164.45</v>
      </c>
      <c r="N60" s="80">
        <v>190.1</v>
      </c>
    </row>
    <row r="61" spans="1:14" ht="60">
      <c r="A61" s="78">
        <v>25</v>
      </c>
      <c r="B61" s="79" t="s">
        <v>581</v>
      </c>
      <c r="C61" s="79" t="s">
        <v>582</v>
      </c>
      <c r="D61" s="78">
        <v>0.9205</v>
      </c>
      <c r="E61" s="80">
        <v>1492.01</v>
      </c>
      <c r="F61" s="80"/>
      <c r="G61" s="80">
        <v>1492.01</v>
      </c>
      <c r="H61" s="81" t="s">
        <v>583</v>
      </c>
      <c r="I61" s="82">
        <v>5049</v>
      </c>
      <c r="J61" s="80"/>
      <c r="K61" s="80"/>
      <c r="L61" s="80" t="str">
        <f>IF(0.9205*1492.01=0," ",TEXT(,ROUND((0.9205*1492.01*3.677),2)))</f>
        <v>5049,97</v>
      </c>
      <c r="M61" s="80"/>
      <c r="N61" s="80"/>
    </row>
    <row r="62" spans="1:14" ht="132">
      <c r="A62" s="78">
        <v>26</v>
      </c>
      <c r="B62" s="79" t="s">
        <v>584</v>
      </c>
      <c r="C62" s="79" t="s">
        <v>585</v>
      </c>
      <c r="D62" s="78">
        <v>1.1253</v>
      </c>
      <c r="E62" s="80" t="s">
        <v>586</v>
      </c>
      <c r="F62" s="80" t="s">
        <v>587</v>
      </c>
      <c r="G62" s="80">
        <v>6650.09</v>
      </c>
      <c r="H62" s="81" t="s">
        <v>588</v>
      </c>
      <c r="I62" s="82">
        <v>32580</v>
      </c>
      <c r="J62" s="80">
        <v>14344</v>
      </c>
      <c r="K62" s="80" t="s">
        <v>589</v>
      </c>
      <c r="L62" s="80" t="str">
        <f>IF(1.1253*6650.09=0," ",TEXT(,ROUND((1.1253*6650.09*2.4),2)))</f>
        <v>17960,03</v>
      </c>
      <c r="M62" s="80" t="s">
        <v>590</v>
      </c>
      <c r="N62" s="80" t="s">
        <v>591</v>
      </c>
    </row>
    <row r="63" spans="1:14" ht="60">
      <c r="A63" s="78">
        <v>27</v>
      </c>
      <c r="B63" s="79" t="s">
        <v>592</v>
      </c>
      <c r="C63" s="79" t="s">
        <v>593</v>
      </c>
      <c r="D63" s="78">
        <v>-0.8102</v>
      </c>
      <c r="E63" s="80">
        <v>8900</v>
      </c>
      <c r="F63" s="80"/>
      <c r="G63" s="80">
        <v>8900</v>
      </c>
      <c r="H63" s="81" t="s">
        <v>594</v>
      </c>
      <c r="I63" s="82">
        <v>-17249</v>
      </c>
      <c r="J63" s="80"/>
      <c r="K63" s="80"/>
      <c r="L63" s="80" t="str">
        <f>IF(-0.8102*8900=0," ",TEXT(,ROUND((-0.8102*8900*2.392),2)))</f>
        <v>-17248,19</v>
      </c>
      <c r="M63" s="80"/>
      <c r="N63" s="80"/>
    </row>
    <row r="64" spans="1:14" ht="72">
      <c r="A64" s="78">
        <v>28</v>
      </c>
      <c r="B64" s="79" t="s">
        <v>595</v>
      </c>
      <c r="C64" s="79" t="s">
        <v>596</v>
      </c>
      <c r="D64" s="78" t="s">
        <v>597</v>
      </c>
      <c r="E64" s="80">
        <v>10675.31</v>
      </c>
      <c r="F64" s="80"/>
      <c r="G64" s="80">
        <v>10675.31</v>
      </c>
      <c r="H64" s="81" t="s">
        <v>598</v>
      </c>
      <c r="I64" s="82">
        <v>29089</v>
      </c>
      <c r="J64" s="80"/>
      <c r="K64" s="80"/>
      <c r="L64" s="80" t="str">
        <f>IF(0.705563*10675.31=0," ",TEXT(,ROUND((0.705563*10675.31*3.862),2)))</f>
        <v>29088,98</v>
      </c>
      <c r="M64" s="80"/>
      <c r="N64" s="80"/>
    </row>
    <row r="65" spans="1:14" ht="120">
      <c r="A65" s="78">
        <v>29</v>
      </c>
      <c r="B65" s="79" t="s">
        <v>599</v>
      </c>
      <c r="C65" s="79" t="s">
        <v>600</v>
      </c>
      <c r="D65" s="78">
        <v>1.192</v>
      </c>
      <c r="E65" s="80" t="s">
        <v>601</v>
      </c>
      <c r="F65" s="80">
        <v>28.11</v>
      </c>
      <c r="G65" s="80">
        <v>36.6</v>
      </c>
      <c r="H65" s="81" t="s">
        <v>602</v>
      </c>
      <c r="I65" s="82">
        <v>3206</v>
      </c>
      <c r="J65" s="80">
        <v>2681</v>
      </c>
      <c r="K65" s="80">
        <v>159</v>
      </c>
      <c r="L65" s="80" t="str">
        <f>IF(1.192*36.6=0," ",TEXT(,ROUND((1.192*36.6*8.52),2)))</f>
        <v>371,7</v>
      </c>
      <c r="M65" s="80">
        <v>14.72</v>
      </c>
      <c r="N65" s="80">
        <v>17.55</v>
      </c>
    </row>
    <row r="66" spans="1:14" ht="24">
      <c r="A66" s="78">
        <v>30</v>
      </c>
      <c r="B66" s="79" t="s">
        <v>603</v>
      </c>
      <c r="C66" s="79" t="s">
        <v>604</v>
      </c>
      <c r="D66" s="78">
        <v>0.4494</v>
      </c>
      <c r="E66" s="80">
        <v>5763</v>
      </c>
      <c r="F66" s="80"/>
      <c r="G66" s="80">
        <v>5763</v>
      </c>
      <c r="H66" s="81" t="s">
        <v>605</v>
      </c>
      <c r="I66" s="82">
        <v>14890</v>
      </c>
      <c r="J66" s="80"/>
      <c r="K66" s="80"/>
      <c r="L66" s="80" t="str">
        <f>IF(0.4494*5763=0," ",TEXT(,ROUND((0.4494*5763*5.749),2)))</f>
        <v>14889,29</v>
      </c>
      <c r="M66" s="80"/>
      <c r="N66" s="80"/>
    </row>
    <row r="67" spans="1:14" ht="120">
      <c r="A67" s="78">
        <v>31</v>
      </c>
      <c r="B67" s="79" t="s">
        <v>606</v>
      </c>
      <c r="C67" s="79" t="s">
        <v>607</v>
      </c>
      <c r="D67" s="78">
        <v>4</v>
      </c>
      <c r="E67" s="80" t="s">
        <v>608</v>
      </c>
      <c r="F67" s="80" t="s">
        <v>609</v>
      </c>
      <c r="G67" s="80">
        <v>300.2</v>
      </c>
      <c r="H67" s="81" t="s">
        <v>610</v>
      </c>
      <c r="I67" s="82">
        <v>11850</v>
      </c>
      <c r="J67" s="80">
        <v>4277</v>
      </c>
      <c r="K67" s="80" t="s">
        <v>611</v>
      </c>
      <c r="L67" s="80" t="str">
        <f>IF(4*300.2=0," ",TEXT(,ROUND((4*300.2*5.3),2)))</f>
        <v>6364,24</v>
      </c>
      <c r="M67" s="80" t="s">
        <v>612</v>
      </c>
      <c r="N67" s="80" t="s">
        <v>613</v>
      </c>
    </row>
    <row r="68" spans="1:14" ht="60">
      <c r="A68" s="78">
        <v>32</v>
      </c>
      <c r="B68" s="79" t="s">
        <v>614</v>
      </c>
      <c r="C68" s="79" t="s">
        <v>615</v>
      </c>
      <c r="D68" s="78">
        <v>4</v>
      </c>
      <c r="E68" s="80">
        <v>13.42</v>
      </c>
      <c r="F68" s="80"/>
      <c r="G68" s="80">
        <v>13.42</v>
      </c>
      <c r="H68" s="81" t="s">
        <v>616</v>
      </c>
      <c r="I68" s="82">
        <v>105</v>
      </c>
      <c r="J68" s="80"/>
      <c r="K68" s="80"/>
      <c r="L68" s="80" t="str">
        <f>IF(4*13.42=0," ",TEXT(,ROUND((4*13.42*1.941),2)))</f>
        <v>104,19</v>
      </c>
      <c r="M68" s="80"/>
      <c r="N68" s="80"/>
    </row>
    <row r="69" spans="1:14" ht="60">
      <c r="A69" s="78">
        <v>33</v>
      </c>
      <c r="B69" s="79" t="s">
        <v>617</v>
      </c>
      <c r="C69" s="79" t="s">
        <v>618</v>
      </c>
      <c r="D69" s="78">
        <v>8</v>
      </c>
      <c r="E69" s="80">
        <v>3.74</v>
      </c>
      <c r="F69" s="80"/>
      <c r="G69" s="80">
        <v>3.74</v>
      </c>
      <c r="H69" s="81" t="s">
        <v>619</v>
      </c>
      <c r="I69" s="82">
        <v>70</v>
      </c>
      <c r="J69" s="80"/>
      <c r="K69" s="80"/>
      <c r="L69" s="80" t="str">
        <f>IF(8*3.74=0," ",TEXT(,ROUND((8*3.74*2.337),2)))</f>
        <v>69,92</v>
      </c>
      <c r="M69" s="80"/>
      <c r="N69" s="80"/>
    </row>
    <row r="70" spans="1:14" ht="120">
      <c r="A70" s="78">
        <v>34</v>
      </c>
      <c r="B70" s="79" t="s">
        <v>620</v>
      </c>
      <c r="C70" s="79" t="s">
        <v>621</v>
      </c>
      <c r="D70" s="78">
        <v>0.088</v>
      </c>
      <c r="E70" s="80" t="s">
        <v>622</v>
      </c>
      <c r="F70" s="80">
        <v>41.89</v>
      </c>
      <c r="G70" s="80">
        <v>2189</v>
      </c>
      <c r="H70" s="81" t="s">
        <v>623</v>
      </c>
      <c r="I70" s="82">
        <v>990</v>
      </c>
      <c r="J70" s="80">
        <v>306</v>
      </c>
      <c r="K70" s="80">
        <v>39</v>
      </c>
      <c r="L70" s="80" t="str">
        <f>IF(0.088*2189=0," ",TEXT(,ROUND((0.088*2189*3.36),2)))</f>
        <v>647,24</v>
      </c>
      <c r="M70" s="80">
        <v>25.875</v>
      </c>
      <c r="N70" s="80">
        <v>2.28</v>
      </c>
    </row>
    <row r="71" spans="1:14" ht="72">
      <c r="A71" s="78">
        <v>35</v>
      </c>
      <c r="B71" s="79" t="s">
        <v>624</v>
      </c>
      <c r="C71" s="79" t="s">
        <v>625</v>
      </c>
      <c r="D71" s="78">
        <v>6.3113</v>
      </c>
      <c r="E71" s="80" t="s">
        <v>626</v>
      </c>
      <c r="F71" s="80">
        <v>5.23</v>
      </c>
      <c r="G71" s="80">
        <v>883.33</v>
      </c>
      <c r="H71" s="81" t="s">
        <v>627</v>
      </c>
      <c r="I71" s="82">
        <v>32019</v>
      </c>
      <c r="J71" s="80">
        <v>3767</v>
      </c>
      <c r="K71" s="80">
        <v>377</v>
      </c>
      <c r="L71" s="80" t="str">
        <f>IF(6.3113*883.33=0," ",TEXT(,ROUND((6.3113*883.33*5),2)))</f>
        <v>27874,8</v>
      </c>
      <c r="M71" s="80">
        <v>4.52</v>
      </c>
      <c r="N71" s="80">
        <v>28.53</v>
      </c>
    </row>
    <row r="72" spans="1:14" ht="60">
      <c r="A72" s="78">
        <v>36</v>
      </c>
      <c r="B72" s="79" t="s">
        <v>628</v>
      </c>
      <c r="C72" s="79" t="s">
        <v>629</v>
      </c>
      <c r="D72" s="78">
        <v>-725.8</v>
      </c>
      <c r="E72" s="80">
        <v>7.46</v>
      </c>
      <c r="F72" s="80"/>
      <c r="G72" s="80">
        <v>7.46</v>
      </c>
      <c r="H72" s="81" t="s">
        <v>630</v>
      </c>
      <c r="I72" s="82">
        <v>-27065</v>
      </c>
      <c r="J72" s="80"/>
      <c r="K72" s="80"/>
      <c r="L72" s="80" t="str">
        <f>IF(-725.8*7.46=0," ",TEXT(,ROUND((-725.8*7.46*4.999),2)))</f>
        <v>-27066,93</v>
      </c>
      <c r="M72" s="80"/>
      <c r="N72" s="80"/>
    </row>
    <row r="73" spans="1:14" ht="60">
      <c r="A73" s="78">
        <v>37</v>
      </c>
      <c r="B73" s="79" t="s">
        <v>631</v>
      </c>
      <c r="C73" s="79" t="s">
        <v>632</v>
      </c>
      <c r="D73" s="78">
        <v>72.58</v>
      </c>
      <c r="E73" s="80">
        <v>37.5</v>
      </c>
      <c r="F73" s="80"/>
      <c r="G73" s="80">
        <v>37.5</v>
      </c>
      <c r="H73" s="81" t="s">
        <v>633</v>
      </c>
      <c r="I73" s="82">
        <v>13311</v>
      </c>
      <c r="J73" s="80"/>
      <c r="K73" s="80"/>
      <c r="L73" s="80" t="str">
        <f>IF(72.58*37.5=0," ",TEXT(,ROUND((72.58*37.5*4.89),2)))</f>
        <v>13309,36</v>
      </c>
      <c r="M73" s="80"/>
      <c r="N73" s="80"/>
    </row>
    <row r="74" spans="1:14" ht="120">
      <c r="A74" s="78">
        <v>38</v>
      </c>
      <c r="B74" s="79" t="s">
        <v>634</v>
      </c>
      <c r="C74" s="79" t="s">
        <v>635</v>
      </c>
      <c r="D74" s="78">
        <v>144.6</v>
      </c>
      <c r="E74" s="80" t="s">
        <v>636</v>
      </c>
      <c r="F74" s="80">
        <v>0.69</v>
      </c>
      <c r="G74" s="80"/>
      <c r="H74" s="81" t="s">
        <v>637</v>
      </c>
      <c r="I74" s="82">
        <v>8577</v>
      </c>
      <c r="J74" s="80">
        <v>8357</v>
      </c>
      <c r="K74" s="80">
        <v>220</v>
      </c>
      <c r="L74" s="80" t="str">
        <f>IF(144.6*0=0," ",TEXT(,ROUND((144.6*0*1),2)))</f>
        <v> </v>
      </c>
      <c r="M74" s="80">
        <v>0.391</v>
      </c>
      <c r="N74" s="80">
        <v>56.54</v>
      </c>
    </row>
    <row r="75" spans="1:14" ht="132">
      <c r="A75" s="78">
        <v>39</v>
      </c>
      <c r="B75" s="79" t="s">
        <v>638</v>
      </c>
      <c r="C75" s="79" t="s">
        <v>639</v>
      </c>
      <c r="D75" s="78">
        <v>6.3113</v>
      </c>
      <c r="E75" s="80" t="s">
        <v>640</v>
      </c>
      <c r="F75" s="80" t="s">
        <v>641</v>
      </c>
      <c r="G75" s="80">
        <v>9149.44</v>
      </c>
      <c r="H75" s="81" t="s">
        <v>642</v>
      </c>
      <c r="I75" s="82">
        <v>257715</v>
      </c>
      <c r="J75" s="80">
        <v>39743</v>
      </c>
      <c r="K75" s="80" t="s">
        <v>643</v>
      </c>
      <c r="L75" s="80" t="str">
        <f>IF(6.3113*9149.44=0," ",TEXT(,ROUND((6.3113*9149.44*3.6),2)))</f>
        <v>207881,5</v>
      </c>
      <c r="M75" s="80" t="s">
        <v>644</v>
      </c>
      <c r="N75" s="80" t="s">
        <v>645</v>
      </c>
    </row>
    <row r="76" spans="1:14" ht="60">
      <c r="A76" s="78">
        <v>40</v>
      </c>
      <c r="B76" s="79" t="s">
        <v>646</v>
      </c>
      <c r="C76" s="79" t="s">
        <v>647</v>
      </c>
      <c r="D76" s="78">
        <v>-770</v>
      </c>
      <c r="E76" s="80">
        <v>70.5</v>
      </c>
      <c r="F76" s="80"/>
      <c r="G76" s="80">
        <v>70.5</v>
      </c>
      <c r="H76" s="81" t="s">
        <v>648</v>
      </c>
      <c r="I76" s="82">
        <v>-207260</v>
      </c>
      <c r="J76" s="80"/>
      <c r="K76" s="80"/>
      <c r="L76" s="80" t="str">
        <f>IF(-770*70.5=0," ",TEXT(,ROUND((-770*70.5*3.818),2)))</f>
        <v>-207260,13</v>
      </c>
      <c r="M76" s="80"/>
      <c r="N76" s="80"/>
    </row>
    <row r="77" spans="1:14" ht="72">
      <c r="A77" s="78">
        <v>41</v>
      </c>
      <c r="B77" s="79" t="s">
        <v>649</v>
      </c>
      <c r="C77" s="79" t="s">
        <v>650</v>
      </c>
      <c r="D77" s="78" t="s">
        <v>651</v>
      </c>
      <c r="E77" s="80">
        <v>10090.38</v>
      </c>
      <c r="F77" s="80"/>
      <c r="G77" s="80">
        <v>10090.38</v>
      </c>
      <c r="H77" s="81" t="s">
        <v>652</v>
      </c>
      <c r="I77" s="82">
        <v>249201</v>
      </c>
      <c r="J77" s="80"/>
      <c r="K77" s="80"/>
      <c r="L77" s="80" t="str">
        <f>IF(5.762217*10090.38=0," ",TEXT(,ROUND((5.762217*10090.38*4.286),2)))</f>
        <v>249200,72</v>
      </c>
      <c r="M77" s="80"/>
      <c r="N77" s="80"/>
    </row>
    <row r="78" spans="1:14" ht="48">
      <c r="A78" s="78">
        <v>42</v>
      </c>
      <c r="B78" s="79" t="s">
        <v>653</v>
      </c>
      <c r="C78" s="79" t="s">
        <v>654</v>
      </c>
      <c r="D78" s="78">
        <v>72.3</v>
      </c>
      <c r="E78" s="80">
        <v>25.4</v>
      </c>
      <c r="F78" s="80"/>
      <c r="G78" s="80">
        <v>25.4</v>
      </c>
      <c r="H78" s="81" t="s">
        <v>544</v>
      </c>
      <c r="I78" s="82">
        <v>10245</v>
      </c>
      <c r="J78" s="80"/>
      <c r="K78" s="80"/>
      <c r="L78" s="80" t="str">
        <f>IF(72.3*25.4=0," ",TEXT(,ROUND((72.3*25.4*5.58),2)))</f>
        <v>10247,22</v>
      </c>
      <c r="M78" s="80"/>
      <c r="N78" s="80"/>
    </row>
    <row r="79" spans="1:14" ht="36">
      <c r="A79" s="78">
        <v>43</v>
      </c>
      <c r="B79" s="79" t="s">
        <v>655</v>
      </c>
      <c r="C79" s="79" t="s">
        <v>656</v>
      </c>
      <c r="D79" s="78">
        <v>65</v>
      </c>
      <c r="E79" s="80">
        <v>28.92</v>
      </c>
      <c r="F79" s="80"/>
      <c r="G79" s="80">
        <v>28.92</v>
      </c>
      <c r="H79" s="81" t="s">
        <v>544</v>
      </c>
      <c r="I79" s="82">
        <v>10490</v>
      </c>
      <c r="J79" s="80"/>
      <c r="K79" s="80"/>
      <c r="L79" s="80" t="str">
        <f>IF(65*28.92=0," ",TEXT(,ROUND((65*28.92*5.58),2)))</f>
        <v>10489,28</v>
      </c>
      <c r="M79" s="80"/>
      <c r="N79" s="80"/>
    </row>
    <row r="80" spans="1:14" ht="72">
      <c r="A80" s="78">
        <v>44</v>
      </c>
      <c r="B80" s="79" t="s">
        <v>657</v>
      </c>
      <c r="C80" s="79" t="s">
        <v>658</v>
      </c>
      <c r="D80" s="78">
        <v>43.6</v>
      </c>
      <c r="E80" s="80">
        <v>25</v>
      </c>
      <c r="F80" s="80"/>
      <c r="G80" s="80">
        <v>25</v>
      </c>
      <c r="H80" s="81" t="s">
        <v>659</v>
      </c>
      <c r="I80" s="82">
        <v>1784</v>
      </c>
      <c r="J80" s="80"/>
      <c r="K80" s="80"/>
      <c r="L80" s="80" t="str">
        <f>IF(43.6*25=0," ",TEXT(,ROUND((43.6*25*1.637),2)))</f>
        <v>1784,33</v>
      </c>
      <c r="M80" s="80"/>
      <c r="N80" s="80"/>
    </row>
    <row r="81" spans="1:14" ht="60">
      <c r="A81" s="78">
        <v>45</v>
      </c>
      <c r="B81" s="79" t="s">
        <v>660</v>
      </c>
      <c r="C81" s="79" t="s">
        <v>661</v>
      </c>
      <c r="D81" s="78" t="s">
        <v>662</v>
      </c>
      <c r="E81" s="80">
        <v>11200</v>
      </c>
      <c r="F81" s="80"/>
      <c r="G81" s="80">
        <v>11200</v>
      </c>
      <c r="H81" s="81" t="s">
        <v>663</v>
      </c>
      <c r="I81" s="82">
        <v>971</v>
      </c>
      <c r="J81" s="80"/>
      <c r="K81" s="80"/>
      <c r="L81" s="80" t="str">
        <f>IF(0.023424*11200=0," ",TEXT(,ROUND((0.023424*11200*3.707),2)))</f>
        <v>972,53</v>
      </c>
      <c r="M81" s="80"/>
      <c r="N81" s="80"/>
    </row>
    <row r="82" spans="1:14" ht="120">
      <c r="A82" s="78">
        <v>46</v>
      </c>
      <c r="B82" s="79" t="s">
        <v>664</v>
      </c>
      <c r="C82" s="79" t="s">
        <v>665</v>
      </c>
      <c r="D82" s="78">
        <v>0.74</v>
      </c>
      <c r="E82" s="80" t="s">
        <v>666</v>
      </c>
      <c r="F82" s="80" t="s">
        <v>667</v>
      </c>
      <c r="G82" s="80">
        <v>8890.58</v>
      </c>
      <c r="H82" s="81" t="s">
        <v>668</v>
      </c>
      <c r="I82" s="82">
        <v>37796</v>
      </c>
      <c r="J82" s="80">
        <v>13456</v>
      </c>
      <c r="K82" s="80" t="s">
        <v>669</v>
      </c>
      <c r="L82" s="80" t="str">
        <f>IF(0.74*8890.58=0," ",TEXT(,ROUND((0.74*8890.58*3.66),2)))</f>
        <v>24079,25</v>
      </c>
      <c r="M82" s="80" t="s">
        <v>670</v>
      </c>
      <c r="N82" s="80" t="s">
        <v>671</v>
      </c>
    </row>
    <row r="83" spans="1:14" ht="132">
      <c r="A83" s="78">
        <v>47</v>
      </c>
      <c r="B83" s="79" t="s">
        <v>584</v>
      </c>
      <c r="C83" s="79" t="s">
        <v>672</v>
      </c>
      <c r="D83" s="78">
        <v>0.268</v>
      </c>
      <c r="E83" s="80" t="s">
        <v>586</v>
      </c>
      <c r="F83" s="80" t="s">
        <v>587</v>
      </c>
      <c r="G83" s="80">
        <v>6650.09</v>
      </c>
      <c r="H83" s="81" t="s">
        <v>588</v>
      </c>
      <c r="I83" s="82">
        <v>7766</v>
      </c>
      <c r="J83" s="80">
        <v>3422</v>
      </c>
      <c r="K83" s="80">
        <v>67</v>
      </c>
      <c r="L83" s="80" t="str">
        <f>IF(0.268*6650.09=0," ",TEXT(,ROUND((0.268*6650.09*2.4),2)))</f>
        <v>4277,34</v>
      </c>
      <c r="M83" s="80" t="s">
        <v>590</v>
      </c>
      <c r="N83" s="80" t="s">
        <v>673</v>
      </c>
    </row>
    <row r="84" spans="1:14" ht="60">
      <c r="A84" s="78">
        <v>48</v>
      </c>
      <c r="B84" s="79" t="s">
        <v>592</v>
      </c>
      <c r="C84" s="79" t="s">
        <v>593</v>
      </c>
      <c r="D84" s="78">
        <v>-0.193</v>
      </c>
      <c r="E84" s="80">
        <v>8900</v>
      </c>
      <c r="F84" s="80"/>
      <c r="G84" s="80">
        <v>8900</v>
      </c>
      <c r="H84" s="81" t="s">
        <v>594</v>
      </c>
      <c r="I84" s="82">
        <v>-4109</v>
      </c>
      <c r="J84" s="80"/>
      <c r="K84" s="80"/>
      <c r="L84" s="80" t="str">
        <f>IF(-0.193*8900=0," ",TEXT(,ROUND((-0.193*8900*2.392),2)))</f>
        <v>-4108,74</v>
      </c>
      <c r="M84" s="80"/>
      <c r="N84" s="80"/>
    </row>
    <row r="85" spans="1:14" ht="36">
      <c r="A85" s="78">
        <v>49</v>
      </c>
      <c r="B85" s="79" t="s">
        <v>660</v>
      </c>
      <c r="C85" s="79" t="s">
        <v>661</v>
      </c>
      <c r="D85" s="78">
        <v>0.193</v>
      </c>
      <c r="E85" s="80">
        <v>11200</v>
      </c>
      <c r="F85" s="80"/>
      <c r="G85" s="80">
        <v>11200</v>
      </c>
      <c r="H85" s="81" t="s">
        <v>663</v>
      </c>
      <c r="I85" s="82">
        <v>8015</v>
      </c>
      <c r="J85" s="80"/>
      <c r="K85" s="80"/>
      <c r="L85" s="80" t="str">
        <f>IF(0.193*11200=0," ",TEXT(,ROUND((0.193*11200*3.707),2)))</f>
        <v>8013,05</v>
      </c>
      <c r="M85" s="80"/>
      <c r="N85" s="80"/>
    </row>
    <row r="86" spans="1:14" ht="132">
      <c r="A86" s="78">
        <v>50</v>
      </c>
      <c r="B86" s="79" t="s">
        <v>0</v>
      </c>
      <c r="C86" s="79" t="s">
        <v>1</v>
      </c>
      <c r="D86" s="78">
        <v>0.09</v>
      </c>
      <c r="E86" s="80" t="s">
        <v>2</v>
      </c>
      <c r="F86" s="80" t="s">
        <v>3</v>
      </c>
      <c r="G86" s="80">
        <v>88.5</v>
      </c>
      <c r="H86" s="81" t="s">
        <v>4</v>
      </c>
      <c r="I86" s="82">
        <v>1354</v>
      </c>
      <c r="J86" s="80">
        <v>510</v>
      </c>
      <c r="K86" s="80" t="s">
        <v>5</v>
      </c>
      <c r="L86" s="80" t="str">
        <f>IF(0.09*88.5=0," ",TEXT(,ROUND((0.09*88.5*5.25),2)))</f>
        <v>41,82</v>
      </c>
      <c r="M86" s="80" t="s">
        <v>6</v>
      </c>
      <c r="N86" s="80" t="s">
        <v>7</v>
      </c>
    </row>
    <row r="87" spans="1:14" ht="108">
      <c r="A87" s="78">
        <v>51</v>
      </c>
      <c r="B87" s="79" t="s">
        <v>8</v>
      </c>
      <c r="C87" s="79" t="s">
        <v>9</v>
      </c>
      <c r="D87" s="78">
        <v>0.09</v>
      </c>
      <c r="E87" s="80">
        <v>10045</v>
      </c>
      <c r="F87" s="80"/>
      <c r="G87" s="80">
        <v>10045</v>
      </c>
      <c r="H87" s="81" t="s">
        <v>10</v>
      </c>
      <c r="I87" s="82">
        <v>6953</v>
      </c>
      <c r="J87" s="80"/>
      <c r="K87" s="80"/>
      <c r="L87" s="80" t="str">
        <f>IF(0.09*10045=0," ",TEXT(,ROUND((0.09*10045*7.691),2)))</f>
        <v>6953,05</v>
      </c>
      <c r="M87" s="80"/>
      <c r="N87" s="80"/>
    </row>
    <row r="88" spans="1:14" ht="156">
      <c r="A88" s="78">
        <v>52</v>
      </c>
      <c r="B88" s="79" t="s">
        <v>11</v>
      </c>
      <c r="C88" s="79" t="s">
        <v>12</v>
      </c>
      <c r="D88" s="78">
        <v>0.0592</v>
      </c>
      <c r="E88" s="80" t="s">
        <v>13</v>
      </c>
      <c r="F88" s="80" t="s">
        <v>14</v>
      </c>
      <c r="G88" s="80">
        <v>562.56</v>
      </c>
      <c r="H88" s="81" t="s">
        <v>15</v>
      </c>
      <c r="I88" s="82">
        <v>256</v>
      </c>
      <c r="J88" s="80">
        <v>82</v>
      </c>
      <c r="K88" s="80">
        <v>11</v>
      </c>
      <c r="L88" s="80" t="str">
        <f>IF(0.0592*562.56=0," ",TEXT(,ROUND((0.0592*562.56*4.94),2)))</f>
        <v>164,52</v>
      </c>
      <c r="M88" s="80" t="s">
        <v>16</v>
      </c>
      <c r="N88" s="80">
        <v>0.52</v>
      </c>
    </row>
    <row r="89" spans="1:14" ht="120">
      <c r="A89" s="78">
        <v>53</v>
      </c>
      <c r="B89" s="79" t="s">
        <v>17</v>
      </c>
      <c r="C89" s="79" t="s">
        <v>18</v>
      </c>
      <c r="D89" s="78">
        <v>0.1</v>
      </c>
      <c r="E89" s="80" t="s">
        <v>19</v>
      </c>
      <c r="F89" s="80" t="s">
        <v>20</v>
      </c>
      <c r="G89" s="80">
        <v>3032.91</v>
      </c>
      <c r="H89" s="81" t="s">
        <v>21</v>
      </c>
      <c r="I89" s="82">
        <v>2508</v>
      </c>
      <c r="J89" s="80">
        <v>115</v>
      </c>
      <c r="K89" s="80">
        <v>69</v>
      </c>
      <c r="L89" s="80" t="str">
        <f>IF(0.1*3032.91=0," ",TEXT(,ROUND((0.1*3032.91*7.67),2)))</f>
        <v>2326,24</v>
      </c>
      <c r="M89" s="80" t="s">
        <v>22</v>
      </c>
      <c r="N89" s="80" t="s">
        <v>23</v>
      </c>
    </row>
    <row r="90" spans="1:14" ht="108">
      <c r="A90" s="78">
        <v>54</v>
      </c>
      <c r="B90" s="79" t="s">
        <v>8</v>
      </c>
      <c r="C90" s="79" t="s">
        <v>9</v>
      </c>
      <c r="D90" s="78">
        <v>-0.03</v>
      </c>
      <c r="E90" s="80">
        <v>10045</v>
      </c>
      <c r="F90" s="80"/>
      <c r="G90" s="80">
        <v>10045</v>
      </c>
      <c r="H90" s="81" t="s">
        <v>10</v>
      </c>
      <c r="I90" s="82">
        <v>-2315</v>
      </c>
      <c r="J90" s="80"/>
      <c r="K90" s="80"/>
      <c r="L90" s="80" t="str">
        <f>IF(-0.03*10045=0," ",TEXT(,ROUND((-0.03*10045*7.691),2)))</f>
        <v>-2317,68</v>
      </c>
      <c r="M90" s="80"/>
      <c r="N90" s="80"/>
    </row>
    <row r="91" spans="1:14" ht="24">
      <c r="A91" s="78">
        <v>55</v>
      </c>
      <c r="B91" s="79" t="s">
        <v>24</v>
      </c>
      <c r="C91" s="79" t="s">
        <v>25</v>
      </c>
      <c r="D91" s="78">
        <v>8</v>
      </c>
      <c r="E91" s="80">
        <v>379.69</v>
      </c>
      <c r="F91" s="80"/>
      <c r="G91" s="80">
        <v>379.69</v>
      </c>
      <c r="H91" s="81" t="s">
        <v>544</v>
      </c>
      <c r="I91" s="82">
        <v>16952</v>
      </c>
      <c r="J91" s="80"/>
      <c r="K91" s="80"/>
      <c r="L91" s="80" t="str">
        <f>IF(8*379.69=0," ",TEXT(,ROUND((8*379.69*5.58),2)))</f>
        <v>16949,36</v>
      </c>
      <c r="M91" s="80"/>
      <c r="N91" s="80"/>
    </row>
    <row r="92" spans="1:14" ht="120">
      <c r="A92" s="78">
        <v>56</v>
      </c>
      <c r="B92" s="79" t="s">
        <v>17</v>
      </c>
      <c r="C92" s="79" t="s">
        <v>26</v>
      </c>
      <c r="D92" s="78">
        <v>0.323</v>
      </c>
      <c r="E92" s="80" t="s">
        <v>19</v>
      </c>
      <c r="F92" s="80" t="s">
        <v>20</v>
      </c>
      <c r="G92" s="80">
        <v>3032.91</v>
      </c>
      <c r="H92" s="81" t="s">
        <v>21</v>
      </c>
      <c r="I92" s="82">
        <v>8097</v>
      </c>
      <c r="J92" s="80">
        <v>362</v>
      </c>
      <c r="K92" s="80" t="s">
        <v>27</v>
      </c>
      <c r="L92" s="80" t="str">
        <f>IF(0.323*3032.91=0," ",TEXT(,ROUND((0.323*3032.91*7.67),2)))</f>
        <v>7513,76</v>
      </c>
      <c r="M92" s="80" t="s">
        <v>22</v>
      </c>
      <c r="N92" s="80" t="s">
        <v>28</v>
      </c>
    </row>
    <row r="93" spans="1:14" ht="108">
      <c r="A93" s="78">
        <v>57</v>
      </c>
      <c r="B93" s="79" t="s">
        <v>8</v>
      </c>
      <c r="C93" s="79" t="s">
        <v>9</v>
      </c>
      <c r="D93" s="78">
        <v>-0.0969</v>
      </c>
      <c r="E93" s="80">
        <v>10045</v>
      </c>
      <c r="F93" s="80"/>
      <c r="G93" s="80">
        <v>10045</v>
      </c>
      <c r="H93" s="81" t="s">
        <v>10</v>
      </c>
      <c r="I93" s="82">
        <v>-7483</v>
      </c>
      <c r="J93" s="80"/>
      <c r="K93" s="80"/>
      <c r="L93" s="80" t="str">
        <f>IF(-0.0969*10045=0," ",TEXT(,ROUND((-0.0969*10045*7.691),2)))</f>
        <v>-7486,12</v>
      </c>
      <c r="M93" s="80"/>
      <c r="N93" s="80"/>
    </row>
    <row r="94" spans="1:14" ht="60">
      <c r="A94" s="78">
        <v>58</v>
      </c>
      <c r="B94" s="79" t="s">
        <v>29</v>
      </c>
      <c r="C94" s="79" t="s">
        <v>30</v>
      </c>
      <c r="D94" s="78">
        <v>32.3</v>
      </c>
      <c r="E94" s="80">
        <v>12.03</v>
      </c>
      <c r="F94" s="80"/>
      <c r="G94" s="80">
        <v>12.03</v>
      </c>
      <c r="H94" s="81" t="s">
        <v>31</v>
      </c>
      <c r="I94" s="82">
        <v>2691</v>
      </c>
      <c r="J94" s="80"/>
      <c r="K94" s="80"/>
      <c r="L94" s="80" t="str">
        <f>IF(32.3*12.03=0," ",TEXT(,ROUND((32.3*12.03*6.918),2)))</f>
        <v>2688,12</v>
      </c>
      <c r="M94" s="80"/>
      <c r="N94" s="80"/>
    </row>
    <row r="95" spans="1:14" ht="60">
      <c r="A95" s="78">
        <v>59</v>
      </c>
      <c r="B95" s="79" t="s">
        <v>32</v>
      </c>
      <c r="C95" s="79" t="s">
        <v>33</v>
      </c>
      <c r="D95" s="78">
        <v>0.12</v>
      </c>
      <c r="E95" s="80">
        <v>3000</v>
      </c>
      <c r="F95" s="80"/>
      <c r="G95" s="80">
        <v>3000</v>
      </c>
      <c r="H95" s="81" t="s">
        <v>34</v>
      </c>
      <c r="I95" s="82">
        <v>1099</v>
      </c>
      <c r="J95" s="80"/>
      <c r="K95" s="80"/>
      <c r="L95" s="80" t="str">
        <f>IF(0.12*3000=0," ",TEXT(,ROUND((0.12*3000*3.052),2)))</f>
        <v>1098,72</v>
      </c>
      <c r="M95" s="80"/>
      <c r="N95" s="80"/>
    </row>
    <row r="96" spans="1:14" ht="120">
      <c r="A96" s="78">
        <v>60</v>
      </c>
      <c r="B96" s="79" t="s">
        <v>17</v>
      </c>
      <c r="C96" s="79" t="s">
        <v>26</v>
      </c>
      <c r="D96" s="78">
        <v>1.088</v>
      </c>
      <c r="E96" s="80" t="s">
        <v>19</v>
      </c>
      <c r="F96" s="80" t="s">
        <v>20</v>
      </c>
      <c r="G96" s="80">
        <v>3032.91</v>
      </c>
      <c r="H96" s="81" t="s">
        <v>21</v>
      </c>
      <c r="I96" s="82">
        <v>27272</v>
      </c>
      <c r="J96" s="80">
        <v>1217</v>
      </c>
      <c r="K96" s="80" t="s">
        <v>35</v>
      </c>
      <c r="L96" s="80" t="str">
        <f>IF(1.088*3032.91=0," ",TEXT(,ROUND((1.088*3032.91*7.67),2)))</f>
        <v>25309,51</v>
      </c>
      <c r="M96" s="80" t="s">
        <v>22</v>
      </c>
      <c r="N96" s="80" t="s">
        <v>36</v>
      </c>
    </row>
    <row r="97" spans="1:14" ht="108">
      <c r="A97" s="78">
        <v>61</v>
      </c>
      <c r="B97" s="79" t="s">
        <v>8</v>
      </c>
      <c r="C97" s="79" t="s">
        <v>37</v>
      </c>
      <c r="D97" s="78">
        <v>0.661</v>
      </c>
      <c r="E97" s="80">
        <v>10045</v>
      </c>
      <c r="F97" s="80"/>
      <c r="G97" s="80">
        <v>10045</v>
      </c>
      <c r="H97" s="81" t="s">
        <v>10</v>
      </c>
      <c r="I97" s="82">
        <v>51068</v>
      </c>
      <c r="J97" s="80"/>
      <c r="K97" s="80"/>
      <c r="L97" s="80" t="str">
        <f>IF(0.661*10045=0," ",TEXT(,ROUND((0.661*10045*7.691),2)))</f>
        <v>51066,28</v>
      </c>
      <c r="M97" s="80"/>
      <c r="N97" s="80"/>
    </row>
    <row r="98" spans="1:14" ht="108">
      <c r="A98" s="78">
        <v>62</v>
      </c>
      <c r="B98" s="79" t="s">
        <v>38</v>
      </c>
      <c r="C98" s="79" t="s">
        <v>39</v>
      </c>
      <c r="D98" s="78">
        <v>0.88</v>
      </c>
      <c r="E98" s="80" t="s">
        <v>40</v>
      </c>
      <c r="F98" s="80" t="s">
        <v>41</v>
      </c>
      <c r="G98" s="80">
        <v>1007.15</v>
      </c>
      <c r="H98" s="81" t="s">
        <v>42</v>
      </c>
      <c r="I98" s="82">
        <v>5409</v>
      </c>
      <c r="J98" s="80">
        <v>526</v>
      </c>
      <c r="K98" s="80" t="s">
        <v>43</v>
      </c>
      <c r="L98" s="80" t="str">
        <f>IF(0.88*1007.15=0," ",TEXT(,ROUND((0.88*1007.15*5.34),2)))</f>
        <v>4732,8</v>
      </c>
      <c r="M98" s="80" t="s">
        <v>44</v>
      </c>
      <c r="N98" s="80" t="s">
        <v>45</v>
      </c>
    </row>
    <row r="99" spans="1:14" ht="180">
      <c r="A99" s="78">
        <v>63</v>
      </c>
      <c r="B99" s="79" t="s">
        <v>46</v>
      </c>
      <c r="C99" s="79" t="s">
        <v>47</v>
      </c>
      <c r="D99" s="78">
        <v>22.115</v>
      </c>
      <c r="E99" s="80" t="s">
        <v>48</v>
      </c>
      <c r="F99" s="80" t="s">
        <v>49</v>
      </c>
      <c r="G99" s="80">
        <v>1.84</v>
      </c>
      <c r="H99" s="81" t="s">
        <v>50</v>
      </c>
      <c r="I99" s="82">
        <v>87543</v>
      </c>
      <c r="J99" s="80">
        <v>51357</v>
      </c>
      <c r="K99" s="80" t="s">
        <v>51</v>
      </c>
      <c r="L99" s="80" t="str">
        <f>IF(22.115*1.84=0," ",TEXT(,ROUND((22.115*1.84*19.16),2)))</f>
        <v>779,65</v>
      </c>
      <c r="M99" s="80" t="s">
        <v>52</v>
      </c>
      <c r="N99" s="80" t="s">
        <v>53</v>
      </c>
    </row>
    <row r="100" spans="1:14" ht="60">
      <c r="A100" s="78">
        <v>64</v>
      </c>
      <c r="B100" s="79" t="s">
        <v>54</v>
      </c>
      <c r="C100" s="79" t="s">
        <v>55</v>
      </c>
      <c r="D100" s="78">
        <v>712.1</v>
      </c>
      <c r="E100" s="80">
        <v>18.53</v>
      </c>
      <c r="F100" s="80"/>
      <c r="G100" s="80">
        <v>18.53</v>
      </c>
      <c r="H100" s="81" t="s">
        <v>56</v>
      </c>
      <c r="I100" s="82">
        <v>161375</v>
      </c>
      <c r="J100" s="80"/>
      <c r="K100" s="80"/>
      <c r="L100" s="80" t="str">
        <f>IF(712.1*18.53=0," ",TEXT(,ROUND((712.1*18.53*12.23),2)))</f>
        <v>161377,45</v>
      </c>
      <c r="M100" s="80"/>
      <c r="N100" s="80"/>
    </row>
    <row r="101" spans="1:14" ht="24">
      <c r="A101" s="108" t="s">
        <v>496</v>
      </c>
      <c r="B101" s="108"/>
      <c r="C101" s="108"/>
      <c r="D101" s="108"/>
      <c r="E101" s="108"/>
      <c r="F101" s="108"/>
      <c r="G101" s="108"/>
      <c r="H101" s="108"/>
      <c r="I101" s="82">
        <v>242435</v>
      </c>
      <c r="J101" s="80">
        <v>19156</v>
      </c>
      <c r="K101" s="80" t="s">
        <v>57</v>
      </c>
      <c r="L101" s="80">
        <v>215695</v>
      </c>
      <c r="M101" s="80"/>
      <c r="N101" s="80" t="s">
        <v>58</v>
      </c>
    </row>
    <row r="102" spans="1:14" ht="24">
      <c r="A102" s="108" t="s">
        <v>499</v>
      </c>
      <c r="B102" s="108"/>
      <c r="C102" s="108"/>
      <c r="D102" s="108"/>
      <c r="E102" s="108"/>
      <c r="F102" s="108"/>
      <c r="G102" s="108"/>
      <c r="H102" s="108"/>
      <c r="I102" s="82">
        <v>1567003</v>
      </c>
      <c r="J102" s="80">
        <v>315107</v>
      </c>
      <c r="K102" s="80" t="s">
        <v>59</v>
      </c>
      <c r="L102" s="80">
        <v>1170344</v>
      </c>
      <c r="M102" s="80"/>
      <c r="N102" s="80" t="s">
        <v>58</v>
      </c>
    </row>
    <row r="103" spans="1:14" ht="12">
      <c r="A103" s="108" t="s">
        <v>501</v>
      </c>
      <c r="B103" s="108"/>
      <c r="C103" s="108"/>
      <c r="D103" s="108"/>
      <c r="E103" s="108"/>
      <c r="F103" s="108"/>
      <c r="G103" s="108"/>
      <c r="H103" s="108"/>
      <c r="I103" s="82">
        <v>270916</v>
      </c>
      <c r="J103" s="80"/>
      <c r="K103" s="80"/>
      <c r="L103" s="80"/>
      <c r="M103" s="80"/>
      <c r="N103" s="80"/>
    </row>
    <row r="104" spans="1:14" ht="12">
      <c r="A104" s="108" t="s">
        <v>502</v>
      </c>
      <c r="B104" s="108"/>
      <c r="C104" s="108"/>
      <c r="D104" s="108"/>
      <c r="E104" s="108"/>
      <c r="F104" s="108"/>
      <c r="G104" s="108"/>
      <c r="H104" s="108"/>
      <c r="I104" s="82">
        <v>147444</v>
      </c>
      <c r="J104" s="80"/>
      <c r="K104" s="80"/>
      <c r="L104" s="80"/>
      <c r="M104" s="80"/>
      <c r="N104" s="80"/>
    </row>
    <row r="105" spans="1:14" ht="12">
      <c r="A105" s="109" t="s">
        <v>60</v>
      </c>
      <c r="B105" s="109"/>
      <c r="C105" s="109"/>
      <c r="D105" s="109"/>
      <c r="E105" s="109"/>
      <c r="F105" s="109"/>
      <c r="G105" s="109"/>
      <c r="H105" s="109"/>
      <c r="I105" s="82"/>
      <c r="J105" s="80"/>
      <c r="K105" s="80"/>
      <c r="L105" s="80"/>
      <c r="M105" s="80"/>
      <c r="N105" s="80"/>
    </row>
    <row r="106" spans="1:14" ht="24" customHeight="1">
      <c r="A106" s="108" t="s">
        <v>61</v>
      </c>
      <c r="B106" s="108"/>
      <c r="C106" s="108"/>
      <c r="D106" s="108"/>
      <c r="E106" s="108"/>
      <c r="F106" s="108"/>
      <c r="G106" s="108"/>
      <c r="H106" s="108"/>
      <c r="I106" s="82">
        <v>661</v>
      </c>
      <c r="J106" s="80"/>
      <c r="K106" s="80"/>
      <c r="L106" s="80"/>
      <c r="M106" s="80"/>
      <c r="N106" s="80" t="s">
        <v>523</v>
      </c>
    </row>
    <row r="107" spans="1:14" ht="24">
      <c r="A107" s="108" t="s">
        <v>62</v>
      </c>
      <c r="B107" s="108"/>
      <c r="C107" s="108"/>
      <c r="D107" s="108"/>
      <c r="E107" s="108"/>
      <c r="F107" s="108"/>
      <c r="G107" s="108"/>
      <c r="H107" s="108"/>
      <c r="I107" s="82">
        <v>57273</v>
      </c>
      <c r="J107" s="80"/>
      <c r="K107" s="80"/>
      <c r="L107" s="80"/>
      <c r="M107" s="80"/>
      <c r="N107" s="80" t="s">
        <v>63</v>
      </c>
    </row>
    <row r="108" spans="1:14" ht="12">
      <c r="A108" s="108" t="s">
        <v>64</v>
      </c>
      <c r="B108" s="108"/>
      <c r="C108" s="108"/>
      <c r="D108" s="108"/>
      <c r="E108" s="108"/>
      <c r="F108" s="108"/>
      <c r="G108" s="108"/>
      <c r="H108" s="108"/>
      <c r="I108" s="82">
        <v>438165</v>
      </c>
      <c r="J108" s="80"/>
      <c r="K108" s="80"/>
      <c r="L108" s="80"/>
      <c r="M108" s="80"/>
      <c r="N108" s="80"/>
    </row>
    <row r="109" spans="1:14" ht="24">
      <c r="A109" s="108" t="s">
        <v>65</v>
      </c>
      <c r="B109" s="108"/>
      <c r="C109" s="108"/>
      <c r="D109" s="108"/>
      <c r="E109" s="108"/>
      <c r="F109" s="108"/>
      <c r="G109" s="108"/>
      <c r="H109" s="108"/>
      <c r="I109" s="82">
        <v>258245</v>
      </c>
      <c r="J109" s="80"/>
      <c r="K109" s="80"/>
      <c r="L109" s="80"/>
      <c r="M109" s="80"/>
      <c r="N109" s="80" t="s">
        <v>66</v>
      </c>
    </row>
    <row r="110" spans="1:14" ht="24">
      <c r="A110" s="108" t="s">
        <v>67</v>
      </c>
      <c r="B110" s="108"/>
      <c r="C110" s="108"/>
      <c r="D110" s="108"/>
      <c r="E110" s="108"/>
      <c r="F110" s="108"/>
      <c r="G110" s="108"/>
      <c r="H110" s="108"/>
      <c r="I110" s="82">
        <v>623</v>
      </c>
      <c r="J110" s="80"/>
      <c r="K110" s="80"/>
      <c r="L110" s="80"/>
      <c r="M110" s="80"/>
      <c r="N110" s="80" t="s">
        <v>551</v>
      </c>
    </row>
    <row r="111" spans="1:14" ht="24">
      <c r="A111" s="108" t="s">
        <v>68</v>
      </c>
      <c r="B111" s="108"/>
      <c r="C111" s="108"/>
      <c r="D111" s="108"/>
      <c r="E111" s="108"/>
      <c r="F111" s="108"/>
      <c r="G111" s="108"/>
      <c r="H111" s="108"/>
      <c r="I111" s="82">
        <v>607934</v>
      </c>
      <c r="J111" s="80"/>
      <c r="K111" s="80"/>
      <c r="L111" s="80"/>
      <c r="M111" s="80"/>
      <c r="N111" s="80" t="s">
        <v>69</v>
      </c>
    </row>
    <row r="112" spans="1:14" ht="24">
      <c r="A112" s="108" t="s">
        <v>70</v>
      </c>
      <c r="B112" s="108"/>
      <c r="C112" s="108"/>
      <c r="D112" s="108"/>
      <c r="E112" s="108"/>
      <c r="F112" s="108"/>
      <c r="G112" s="108"/>
      <c r="H112" s="108"/>
      <c r="I112" s="82">
        <v>146259</v>
      </c>
      <c r="J112" s="80"/>
      <c r="K112" s="80"/>
      <c r="L112" s="80"/>
      <c r="M112" s="80"/>
      <c r="N112" s="80" t="s">
        <v>71</v>
      </c>
    </row>
    <row r="113" spans="1:14" ht="24">
      <c r="A113" s="108" t="s">
        <v>72</v>
      </c>
      <c r="B113" s="108"/>
      <c r="C113" s="108"/>
      <c r="D113" s="108"/>
      <c r="E113" s="108"/>
      <c r="F113" s="108"/>
      <c r="G113" s="108"/>
      <c r="H113" s="108"/>
      <c r="I113" s="82">
        <v>475851</v>
      </c>
      <c r="J113" s="80"/>
      <c r="K113" s="80"/>
      <c r="L113" s="80"/>
      <c r="M113" s="80"/>
      <c r="N113" s="80" t="s">
        <v>73</v>
      </c>
    </row>
    <row r="114" spans="1:14" ht="12">
      <c r="A114" s="108" t="s">
        <v>74</v>
      </c>
      <c r="B114" s="108"/>
      <c r="C114" s="108"/>
      <c r="D114" s="108"/>
      <c r="E114" s="108"/>
      <c r="F114" s="108"/>
      <c r="G114" s="108"/>
      <c r="H114" s="108"/>
      <c r="I114" s="82">
        <v>352</v>
      </c>
      <c r="J114" s="80"/>
      <c r="K114" s="80"/>
      <c r="L114" s="80"/>
      <c r="M114" s="80"/>
      <c r="N114" s="80">
        <v>0.52</v>
      </c>
    </row>
    <row r="115" spans="1:14" ht="24">
      <c r="A115" s="108" t="s">
        <v>507</v>
      </c>
      <c r="B115" s="108"/>
      <c r="C115" s="108"/>
      <c r="D115" s="108"/>
      <c r="E115" s="108"/>
      <c r="F115" s="108"/>
      <c r="G115" s="108"/>
      <c r="H115" s="108"/>
      <c r="I115" s="82">
        <v>1985363</v>
      </c>
      <c r="J115" s="80"/>
      <c r="K115" s="80"/>
      <c r="L115" s="80"/>
      <c r="M115" s="80"/>
      <c r="N115" s="80" t="s">
        <v>58</v>
      </c>
    </row>
    <row r="116" spans="1:14" ht="12">
      <c r="A116" s="108" t="s">
        <v>508</v>
      </c>
      <c r="B116" s="108"/>
      <c r="C116" s="108"/>
      <c r="D116" s="108"/>
      <c r="E116" s="108"/>
      <c r="F116" s="108"/>
      <c r="G116" s="108"/>
      <c r="H116" s="108"/>
      <c r="I116" s="82"/>
      <c r="J116" s="80"/>
      <c r="K116" s="80"/>
      <c r="L116" s="80"/>
      <c r="M116" s="80"/>
      <c r="N116" s="80"/>
    </row>
    <row r="117" spans="1:14" ht="12">
      <c r="A117" s="108" t="s">
        <v>509</v>
      </c>
      <c r="B117" s="108"/>
      <c r="C117" s="108"/>
      <c r="D117" s="108"/>
      <c r="E117" s="108"/>
      <c r="F117" s="108"/>
      <c r="G117" s="108"/>
      <c r="H117" s="108"/>
      <c r="I117" s="82">
        <v>1170344</v>
      </c>
      <c r="J117" s="80"/>
      <c r="K117" s="80"/>
      <c r="L117" s="80"/>
      <c r="M117" s="80"/>
      <c r="N117" s="80"/>
    </row>
    <row r="118" spans="1:14" ht="12">
      <c r="A118" s="108" t="s">
        <v>510</v>
      </c>
      <c r="B118" s="108"/>
      <c r="C118" s="108"/>
      <c r="D118" s="108"/>
      <c r="E118" s="108"/>
      <c r="F118" s="108"/>
      <c r="G118" s="108"/>
      <c r="H118" s="108"/>
      <c r="I118" s="82">
        <v>81552</v>
      </c>
      <c r="J118" s="80"/>
      <c r="K118" s="80"/>
      <c r="L118" s="80"/>
      <c r="M118" s="80"/>
      <c r="N118" s="80"/>
    </row>
    <row r="119" spans="1:14" ht="12">
      <c r="A119" s="108" t="s">
        <v>511</v>
      </c>
      <c r="B119" s="108"/>
      <c r="C119" s="108"/>
      <c r="D119" s="108"/>
      <c r="E119" s="108"/>
      <c r="F119" s="108"/>
      <c r="G119" s="108"/>
      <c r="H119" s="108"/>
      <c r="I119" s="82">
        <v>320566</v>
      </c>
      <c r="J119" s="80"/>
      <c r="K119" s="80"/>
      <c r="L119" s="80"/>
      <c r="M119" s="80"/>
      <c r="N119" s="80"/>
    </row>
    <row r="120" spans="1:14" ht="12">
      <c r="A120" s="108" t="s">
        <v>512</v>
      </c>
      <c r="B120" s="108"/>
      <c r="C120" s="108"/>
      <c r="D120" s="108"/>
      <c r="E120" s="108"/>
      <c r="F120" s="108"/>
      <c r="G120" s="108"/>
      <c r="H120" s="108"/>
      <c r="I120" s="82">
        <v>270916</v>
      </c>
      <c r="J120" s="80"/>
      <c r="K120" s="80"/>
      <c r="L120" s="80"/>
      <c r="M120" s="80"/>
      <c r="N120" s="80"/>
    </row>
    <row r="121" spans="1:14" ht="12">
      <c r="A121" s="108" t="s">
        <v>513</v>
      </c>
      <c r="B121" s="108"/>
      <c r="C121" s="108"/>
      <c r="D121" s="108"/>
      <c r="E121" s="108"/>
      <c r="F121" s="108"/>
      <c r="G121" s="108"/>
      <c r="H121" s="108"/>
      <c r="I121" s="82">
        <v>147444</v>
      </c>
      <c r="J121" s="80"/>
      <c r="K121" s="80"/>
      <c r="L121" s="80"/>
      <c r="M121" s="80"/>
      <c r="N121" s="80"/>
    </row>
    <row r="122" spans="1:14" ht="24">
      <c r="A122" s="109" t="s">
        <v>75</v>
      </c>
      <c r="B122" s="109"/>
      <c r="C122" s="109"/>
      <c r="D122" s="109"/>
      <c r="E122" s="109"/>
      <c r="F122" s="109"/>
      <c r="G122" s="109"/>
      <c r="H122" s="109"/>
      <c r="I122" s="82">
        <v>1985363</v>
      </c>
      <c r="J122" s="80"/>
      <c r="K122" s="80"/>
      <c r="L122" s="80"/>
      <c r="M122" s="80"/>
      <c r="N122" s="80" t="s">
        <v>58</v>
      </c>
    </row>
    <row r="123" spans="1:14" ht="17.25" customHeight="1">
      <c r="A123" s="109" t="s">
        <v>76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</row>
    <row r="124" spans="1:14" ht="192">
      <c r="A124" s="78">
        <v>65</v>
      </c>
      <c r="B124" s="79" t="s">
        <v>77</v>
      </c>
      <c r="C124" s="79" t="s">
        <v>78</v>
      </c>
      <c r="D124" s="78">
        <v>13.46</v>
      </c>
      <c r="E124" s="80">
        <v>90.31</v>
      </c>
      <c r="F124" s="80">
        <v>90.31</v>
      </c>
      <c r="G124" s="80"/>
      <c r="H124" s="81" t="s">
        <v>79</v>
      </c>
      <c r="I124" s="82">
        <v>13887</v>
      </c>
      <c r="J124" s="80"/>
      <c r="K124" s="80">
        <v>13887</v>
      </c>
      <c r="L124" s="80" t="str">
        <f>IF(13.46*0=0," ",TEXT(,ROUND((13.46*0*1),2)))</f>
        <v> </v>
      </c>
      <c r="M124" s="80"/>
      <c r="N124" s="80"/>
    </row>
    <row r="125" spans="1:14" ht="144">
      <c r="A125" s="78">
        <v>66</v>
      </c>
      <c r="B125" s="79" t="s">
        <v>80</v>
      </c>
      <c r="C125" s="79" t="s">
        <v>81</v>
      </c>
      <c r="D125" s="78">
        <v>0.0652</v>
      </c>
      <c r="E125" s="80">
        <v>43.48</v>
      </c>
      <c r="F125" s="80">
        <v>43.48</v>
      </c>
      <c r="G125" s="80"/>
      <c r="H125" s="81" t="s">
        <v>82</v>
      </c>
      <c r="I125" s="82">
        <v>32</v>
      </c>
      <c r="J125" s="80"/>
      <c r="K125" s="80">
        <v>32</v>
      </c>
      <c r="L125" s="80" t="str">
        <f>IF(0.0652*0=0," ",TEXT(,ROUND((0.0652*0*1),2)))</f>
        <v> </v>
      </c>
      <c r="M125" s="80"/>
      <c r="N125" s="80"/>
    </row>
    <row r="126" spans="1:14" ht="192">
      <c r="A126" s="78">
        <v>67</v>
      </c>
      <c r="B126" s="79" t="s">
        <v>83</v>
      </c>
      <c r="C126" s="79" t="s">
        <v>84</v>
      </c>
      <c r="D126" s="78">
        <v>0.914</v>
      </c>
      <c r="E126" s="80">
        <v>106.24</v>
      </c>
      <c r="F126" s="80">
        <v>106.24</v>
      </c>
      <c r="G126" s="80"/>
      <c r="H126" s="81" t="s">
        <v>85</v>
      </c>
      <c r="I126" s="82">
        <v>1108</v>
      </c>
      <c r="J126" s="80"/>
      <c r="K126" s="80">
        <v>1108</v>
      </c>
      <c r="L126" s="80" t="str">
        <f>IF(0.914*0=0," ",TEXT(,ROUND((0.914*0*1),2)))</f>
        <v> </v>
      </c>
      <c r="M126" s="80"/>
      <c r="N126" s="80"/>
    </row>
    <row r="127" spans="1:14" ht="192">
      <c r="A127" s="78">
        <v>68</v>
      </c>
      <c r="B127" s="79" t="s">
        <v>86</v>
      </c>
      <c r="C127" s="79" t="s">
        <v>87</v>
      </c>
      <c r="D127" s="78">
        <v>0.22</v>
      </c>
      <c r="E127" s="80">
        <v>149.27</v>
      </c>
      <c r="F127" s="80">
        <v>149.27</v>
      </c>
      <c r="G127" s="80"/>
      <c r="H127" s="81" t="s">
        <v>88</v>
      </c>
      <c r="I127" s="82">
        <v>377</v>
      </c>
      <c r="J127" s="80"/>
      <c r="K127" s="80">
        <v>377</v>
      </c>
      <c r="L127" s="80" t="str">
        <f>IF(0.22*0=0," ",TEXT(,ROUND((0.22*0*1),2)))</f>
        <v> </v>
      </c>
      <c r="M127" s="80"/>
      <c r="N127" s="80"/>
    </row>
    <row r="128" spans="1:14" ht="12">
      <c r="A128" s="108" t="s">
        <v>496</v>
      </c>
      <c r="B128" s="108"/>
      <c r="C128" s="108"/>
      <c r="D128" s="108"/>
      <c r="E128" s="108"/>
      <c r="F128" s="108"/>
      <c r="G128" s="108"/>
      <c r="H128" s="108"/>
      <c r="I128" s="82">
        <v>1349</v>
      </c>
      <c r="J128" s="80"/>
      <c r="K128" s="80">
        <v>1349</v>
      </c>
      <c r="L128" s="80"/>
      <c r="M128" s="80"/>
      <c r="N128" s="80"/>
    </row>
    <row r="129" spans="1:14" ht="12">
      <c r="A129" s="108" t="s">
        <v>499</v>
      </c>
      <c r="B129" s="108"/>
      <c r="C129" s="108"/>
      <c r="D129" s="108"/>
      <c r="E129" s="108"/>
      <c r="F129" s="108"/>
      <c r="G129" s="108"/>
      <c r="H129" s="108"/>
      <c r="I129" s="82">
        <v>15404</v>
      </c>
      <c r="J129" s="80"/>
      <c r="K129" s="80">
        <v>15404</v>
      </c>
      <c r="L129" s="80"/>
      <c r="M129" s="80"/>
      <c r="N129" s="80"/>
    </row>
    <row r="130" spans="1:14" ht="12">
      <c r="A130" s="109" t="s">
        <v>89</v>
      </c>
      <c r="B130" s="109"/>
      <c r="C130" s="109"/>
      <c r="D130" s="109"/>
      <c r="E130" s="109"/>
      <c r="F130" s="109"/>
      <c r="G130" s="109"/>
      <c r="H130" s="109"/>
      <c r="I130" s="82"/>
      <c r="J130" s="80"/>
      <c r="K130" s="80"/>
      <c r="L130" s="80"/>
      <c r="M130" s="80"/>
      <c r="N130" s="80"/>
    </row>
    <row r="131" spans="1:14" ht="12">
      <c r="A131" s="108" t="s">
        <v>90</v>
      </c>
      <c r="B131" s="108"/>
      <c r="C131" s="108"/>
      <c r="D131" s="108"/>
      <c r="E131" s="108"/>
      <c r="F131" s="108"/>
      <c r="G131" s="108"/>
      <c r="H131" s="108"/>
      <c r="I131" s="82">
        <v>15404</v>
      </c>
      <c r="J131" s="80"/>
      <c r="K131" s="80"/>
      <c r="L131" s="80"/>
      <c r="M131" s="80"/>
      <c r="N131" s="80"/>
    </row>
    <row r="132" spans="1:14" ht="12">
      <c r="A132" s="108" t="s">
        <v>507</v>
      </c>
      <c r="B132" s="108"/>
      <c r="C132" s="108"/>
      <c r="D132" s="108"/>
      <c r="E132" s="108"/>
      <c r="F132" s="108"/>
      <c r="G132" s="108"/>
      <c r="H132" s="108"/>
      <c r="I132" s="82">
        <v>15404</v>
      </c>
      <c r="J132" s="80"/>
      <c r="K132" s="80"/>
      <c r="L132" s="80"/>
      <c r="M132" s="80"/>
      <c r="N132" s="80"/>
    </row>
    <row r="133" spans="1:14" ht="12">
      <c r="A133" s="108" t="s">
        <v>508</v>
      </c>
      <c r="B133" s="108"/>
      <c r="C133" s="108"/>
      <c r="D133" s="108"/>
      <c r="E133" s="108"/>
      <c r="F133" s="108"/>
      <c r="G133" s="108"/>
      <c r="H133" s="108"/>
      <c r="I133" s="82"/>
      <c r="J133" s="80"/>
      <c r="K133" s="80"/>
      <c r="L133" s="80"/>
      <c r="M133" s="80"/>
      <c r="N133" s="80"/>
    </row>
    <row r="134" spans="1:14" ht="12">
      <c r="A134" s="108" t="s">
        <v>510</v>
      </c>
      <c r="B134" s="108"/>
      <c r="C134" s="108"/>
      <c r="D134" s="108"/>
      <c r="E134" s="108"/>
      <c r="F134" s="108"/>
      <c r="G134" s="108"/>
      <c r="H134" s="108"/>
      <c r="I134" s="82">
        <v>15404</v>
      </c>
      <c r="J134" s="80"/>
      <c r="K134" s="80"/>
      <c r="L134" s="80"/>
      <c r="M134" s="80"/>
      <c r="N134" s="80"/>
    </row>
    <row r="135" spans="1:14" ht="12">
      <c r="A135" s="109" t="s">
        <v>91</v>
      </c>
      <c r="B135" s="109"/>
      <c r="C135" s="109"/>
      <c r="D135" s="109"/>
      <c r="E135" s="109"/>
      <c r="F135" s="109"/>
      <c r="G135" s="109"/>
      <c r="H135" s="109"/>
      <c r="I135" s="82">
        <v>15404</v>
      </c>
      <c r="J135" s="80"/>
      <c r="K135" s="80"/>
      <c r="L135" s="80"/>
      <c r="M135" s="80"/>
      <c r="N135" s="80"/>
    </row>
    <row r="136" spans="1:14" ht="24">
      <c r="A136" s="111" t="s">
        <v>92</v>
      </c>
      <c r="B136" s="108"/>
      <c r="C136" s="108"/>
      <c r="D136" s="108"/>
      <c r="E136" s="108"/>
      <c r="F136" s="108"/>
      <c r="G136" s="108"/>
      <c r="H136" s="108"/>
      <c r="I136" s="83">
        <v>250821</v>
      </c>
      <c r="J136" s="83">
        <v>23676</v>
      </c>
      <c r="K136" s="83" t="s">
        <v>93</v>
      </c>
      <c r="L136" s="83">
        <v>215705</v>
      </c>
      <c r="M136" s="83"/>
      <c r="N136" s="83" t="s">
        <v>94</v>
      </c>
    </row>
    <row r="137" spans="1:14" ht="24">
      <c r="A137" s="111" t="s">
        <v>95</v>
      </c>
      <c r="B137" s="108"/>
      <c r="C137" s="108"/>
      <c r="D137" s="108"/>
      <c r="E137" s="108"/>
      <c r="F137" s="108"/>
      <c r="G137" s="108"/>
      <c r="H137" s="108"/>
      <c r="I137" s="83">
        <v>1679473</v>
      </c>
      <c r="J137" s="83">
        <v>389461</v>
      </c>
      <c r="K137" s="83" t="s">
        <v>96</v>
      </c>
      <c r="L137" s="83">
        <v>1170400</v>
      </c>
      <c r="M137" s="83"/>
      <c r="N137" s="83" t="s">
        <v>94</v>
      </c>
    </row>
    <row r="138" spans="1:14" ht="12">
      <c r="A138" s="111" t="s">
        <v>501</v>
      </c>
      <c r="B138" s="108"/>
      <c r="C138" s="108"/>
      <c r="D138" s="108"/>
      <c r="E138" s="108"/>
      <c r="F138" s="108"/>
      <c r="G138" s="108"/>
      <c r="H138" s="108"/>
      <c r="I138" s="83">
        <v>329304</v>
      </c>
      <c r="J138" s="83"/>
      <c r="K138" s="83"/>
      <c r="L138" s="83"/>
      <c r="M138" s="83"/>
      <c r="N138" s="83"/>
    </row>
    <row r="139" spans="1:14" ht="12">
      <c r="A139" s="111" t="s">
        <v>502</v>
      </c>
      <c r="B139" s="108"/>
      <c r="C139" s="108"/>
      <c r="D139" s="108"/>
      <c r="E139" s="108"/>
      <c r="F139" s="108"/>
      <c r="G139" s="108"/>
      <c r="H139" s="108"/>
      <c r="I139" s="83">
        <v>186919</v>
      </c>
      <c r="J139" s="83"/>
      <c r="K139" s="83"/>
      <c r="L139" s="83"/>
      <c r="M139" s="83"/>
      <c r="N139" s="83"/>
    </row>
    <row r="140" spans="1:14" ht="12">
      <c r="A140" s="110" t="s">
        <v>97</v>
      </c>
      <c r="B140" s="109"/>
      <c r="C140" s="109"/>
      <c r="D140" s="109"/>
      <c r="E140" s="109"/>
      <c r="F140" s="109"/>
      <c r="G140" s="109"/>
      <c r="H140" s="109"/>
      <c r="I140" s="83"/>
      <c r="J140" s="83"/>
      <c r="K140" s="83"/>
      <c r="L140" s="83"/>
      <c r="M140" s="83"/>
      <c r="N140" s="83"/>
    </row>
    <row r="141" spans="1:14" ht="24">
      <c r="A141" s="111" t="s">
        <v>504</v>
      </c>
      <c r="B141" s="108"/>
      <c r="C141" s="108"/>
      <c r="D141" s="108"/>
      <c r="E141" s="108"/>
      <c r="F141" s="108"/>
      <c r="G141" s="108"/>
      <c r="H141" s="108"/>
      <c r="I141" s="83">
        <v>2176987</v>
      </c>
      <c r="J141" s="83"/>
      <c r="K141" s="83"/>
      <c r="L141" s="83"/>
      <c r="M141" s="83"/>
      <c r="N141" s="83" t="s">
        <v>98</v>
      </c>
    </row>
    <row r="142" spans="1:14" ht="12">
      <c r="A142" s="111" t="s">
        <v>506</v>
      </c>
      <c r="B142" s="108"/>
      <c r="C142" s="108"/>
      <c r="D142" s="108"/>
      <c r="E142" s="108"/>
      <c r="F142" s="108"/>
      <c r="G142" s="108"/>
      <c r="H142" s="108"/>
      <c r="I142" s="83">
        <v>18709</v>
      </c>
      <c r="J142" s="83"/>
      <c r="K142" s="83"/>
      <c r="L142" s="83"/>
      <c r="M142" s="83"/>
      <c r="N142" s="83">
        <v>47.6</v>
      </c>
    </row>
    <row r="143" spans="1:14" ht="24">
      <c r="A143" s="111" t="s">
        <v>507</v>
      </c>
      <c r="B143" s="108"/>
      <c r="C143" s="108"/>
      <c r="D143" s="108"/>
      <c r="E143" s="108"/>
      <c r="F143" s="108"/>
      <c r="G143" s="108"/>
      <c r="H143" s="108"/>
      <c r="I143" s="83">
        <v>2195696</v>
      </c>
      <c r="J143" s="83"/>
      <c r="K143" s="83"/>
      <c r="L143" s="83"/>
      <c r="M143" s="83"/>
      <c r="N143" s="83" t="s">
        <v>94</v>
      </c>
    </row>
    <row r="144" spans="1:14" ht="12">
      <c r="A144" s="111" t="s">
        <v>508</v>
      </c>
      <c r="B144" s="108"/>
      <c r="C144" s="108"/>
      <c r="D144" s="108"/>
      <c r="E144" s="108"/>
      <c r="F144" s="108"/>
      <c r="G144" s="108"/>
      <c r="H144" s="108"/>
      <c r="I144" s="83"/>
      <c r="J144" s="83"/>
      <c r="K144" s="83"/>
      <c r="L144" s="83"/>
      <c r="M144" s="83"/>
      <c r="N144" s="83"/>
    </row>
    <row r="145" spans="1:14" ht="12">
      <c r="A145" s="111" t="s">
        <v>509</v>
      </c>
      <c r="B145" s="108"/>
      <c r="C145" s="108"/>
      <c r="D145" s="108"/>
      <c r="E145" s="108"/>
      <c r="F145" s="108"/>
      <c r="G145" s="108"/>
      <c r="H145" s="108"/>
      <c r="I145" s="83">
        <v>1170400</v>
      </c>
      <c r="J145" s="83"/>
      <c r="K145" s="83"/>
      <c r="L145" s="83"/>
      <c r="M145" s="83"/>
      <c r="N145" s="83"/>
    </row>
    <row r="146" spans="1:14" ht="12">
      <c r="A146" s="111" t="s">
        <v>510</v>
      </c>
      <c r="B146" s="108"/>
      <c r="C146" s="108"/>
      <c r="D146" s="108"/>
      <c r="E146" s="108"/>
      <c r="F146" s="108"/>
      <c r="G146" s="108"/>
      <c r="H146" s="108"/>
      <c r="I146" s="83">
        <v>119612</v>
      </c>
      <c r="J146" s="83"/>
      <c r="K146" s="83"/>
      <c r="L146" s="83"/>
      <c r="M146" s="83"/>
      <c r="N146" s="83"/>
    </row>
    <row r="147" spans="1:14" ht="12">
      <c r="A147" s="111" t="s">
        <v>511</v>
      </c>
      <c r="B147" s="108"/>
      <c r="C147" s="108"/>
      <c r="D147" s="108"/>
      <c r="E147" s="108"/>
      <c r="F147" s="108"/>
      <c r="G147" s="108"/>
      <c r="H147" s="108"/>
      <c r="I147" s="83">
        <v>397962</v>
      </c>
      <c r="J147" s="83"/>
      <c r="K147" s="83"/>
      <c r="L147" s="83"/>
      <c r="M147" s="83"/>
      <c r="N147" s="83"/>
    </row>
    <row r="148" spans="1:14" ht="12">
      <c r="A148" s="111" t="s">
        <v>512</v>
      </c>
      <c r="B148" s="108"/>
      <c r="C148" s="108"/>
      <c r="D148" s="108"/>
      <c r="E148" s="108"/>
      <c r="F148" s="108"/>
      <c r="G148" s="108"/>
      <c r="H148" s="108"/>
      <c r="I148" s="83">
        <v>329304</v>
      </c>
      <c r="J148" s="83"/>
      <c r="K148" s="83"/>
      <c r="L148" s="83"/>
      <c r="M148" s="83"/>
      <c r="N148" s="83"/>
    </row>
    <row r="149" spans="1:14" ht="12">
      <c r="A149" s="111" t="s">
        <v>513</v>
      </c>
      <c r="B149" s="108"/>
      <c r="C149" s="108"/>
      <c r="D149" s="108"/>
      <c r="E149" s="108"/>
      <c r="F149" s="108"/>
      <c r="G149" s="108"/>
      <c r="H149" s="108"/>
      <c r="I149" s="83">
        <v>186919</v>
      </c>
      <c r="J149" s="83"/>
      <c r="K149" s="83"/>
      <c r="L149" s="83"/>
      <c r="M149" s="83"/>
      <c r="N149" s="83"/>
    </row>
    <row r="150" spans="1:14" ht="24">
      <c r="A150" s="110" t="s">
        <v>99</v>
      </c>
      <c r="B150" s="109"/>
      <c r="C150" s="109"/>
      <c r="D150" s="109"/>
      <c r="E150" s="109"/>
      <c r="F150" s="109"/>
      <c r="G150" s="109"/>
      <c r="H150" s="109"/>
      <c r="I150" s="83">
        <v>2195696</v>
      </c>
      <c r="J150" s="83"/>
      <c r="K150" s="83"/>
      <c r="L150" s="83"/>
      <c r="M150" s="83"/>
      <c r="N150" s="83" t="s">
        <v>94</v>
      </c>
    </row>
    <row r="151" spans="1:13" ht="12">
      <c r="A151" s="84"/>
      <c r="B151" s="85"/>
      <c r="C151" s="85"/>
      <c r="D151" s="84"/>
      <c r="E151" s="73"/>
      <c r="F151" s="73"/>
      <c r="G151" s="73"/>
      <c r="H151" s="73"/>
      <c r="I151" s="86"/>
      <c r="J151" s="73"/>
      <c r="K151" s="73"/>
      <c r="L151" s="73"/>
      <c r="M151" s="73"/>
    </row>
    <row r="152" spans="1:13" ht="12">
      <c r="A152" s="84"/>
      <c r="B152" s="85"/>
      <c r="C152" s="85"/>
      <c r="D152" s="84"/>
      <c r="E152" s="73"/>
      <c r="F152" s="73"/>
      <c r="G152" s="73"/>
      <c r="H152" s="73"/>
      <c r="I152" s="86"/>
      <c r="J152" s="73"/>
      <c r="K152" s="73"/>
      <c r="L152" s="73"/>
      <c r="M152" s="73"/>
    </row>
    <row r="153" spans="1:13" ht="12">
      <c r="A153" s="84"/>
      <c r="B153" s="85"/>
      <c r="C153" s="87" t="s">
        <v>675</v>
      </c>
      <c r="D153" s="84"/>
      <c r="E153" s="73"/>
      <c r="F153" s="87" t="s">
        <v>421</v>
      </c>
      <c r="G153" s="87"/>
      <c r="H153" s="87"/>
      <c r="I153" s="73"/>
      <c r="J153" s="73"/>
      <c r="K153" s="73"/>
      <c r="L153" s="73"/>
      <c r="M153" s="73"/>
    </row>
    <row r="167" ht="12"/>
    <row r="168" ht="12"/>
    <row r="169" ht="12"/>
    <row r="170" ht="12"/>
  </sheetData>
  <sheetProtection/>
  <mergeCells count="81">
    <mergeCell ref="A148:H148"/>
    <mergeCell ref="A149:H149"/>
    <mergeCell ref="A150:H150"/>
    <mergeCell ref="A144:H144"/>
    <mergeCell ref="A145:H145"/>
    <mergeCell ref="A146:H146"/>
    <mergeCell ref="A147:H147"/>
    <mergeCell ref="A140:H140"/>
    <mergeCell ref="A141:H141"/>
    <mergeCell ref="A142:H142"/>
    <mergeCell ref="A143:H143"/>
    <mergeCell ref="A136:H136"/>
    <mergeCell ref="A137:H137"/>
    <mergeCell ref="A138:H138"/>
    <mergeCell ref="A139:H139"/>
    <mergeCell ref="A132:H132"/>
    <mergeCell ref="A133:H133"/>
    <mergeCell ref="A134:H134"/>
    <mergeCell ref="A135:H135"/>
    <mergeCell ref="A128:H128"/>
    <mergeCell ref="A129:H129"/>
    <mergeCell ref="A130:H130"/>
    <mergeCell ref="A131:H131"/>
    <mergeCell ref="A120:H120"/>
    <mergeCell ref="A121:H121"/>
    <mergeCell ref="A122:H122"/>
    <mergeCell ref="A123:N123"/>
    <mergeCell ref="A116:H116"/>
    <mergeCell ref="A117:H117"/>
    <mergeCell ref="A118:H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49:N49"/>
    <mergeCell ref="A101:H101"/>
    <mergeCell ref="A102:H102"/>
    <mergeCell ref="A103:H103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20:N20"/>
    <mergeCell ref="A34:H34"/>
    <mergeCell ref="A35:H35"/>
    <mergeCell ref="A36:H36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I11:L13"/>
    <mergeCell ref="J17:J18"/>
    <mergeCell ref="L17:L18"/>
    <mergeCell ref="N17:N18"/>
    <mergeCell ref="A15:A18"/>
    <mergeCell ref="D15:D18"/>
    <mergeCell ref="C15:C18"/>
    <mergeCell ref="B15:B18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2" t="s">
        <v>338</v>
      </c>
      <c r="B1" s="113"/>
      <c r="C1" s="113"/>
      <c r="D1" s="113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276</v>
      </c>
      <c r="B4" s="17" t="s">
        <v>339</v>
      </c>
      <c r="C4" s="17" t="s">
        <v>276</v>
      </c>
      <c r="D4" s="18" t="s">
        <v>340</v>
      </c>
      <c r="E4" s="17" t="s">
        <v>276</v>
      </c>
      <c r="F4" s="19" t="s">
        <v>356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357</v>
      </c>
      <c r="C6" s="25">
        <v>1</v>
      </c>
      <c r="D6" s="27" t="s">
        <v>154</v>
      </c>
      <c r="E6" s="23">
        <v>1</v>
      </c>
      <c r="F6" s="24" t="s">
        <v>358</v>
      </c>
    </row>
    <row r="7" spans="1:6" ht="12.75">
      <c r="A7" s="25"/>
      <c r="B7" s="28"/>
      <c r="C7" s="25">
        <v>2</v>
      </c>
      <c r="D7" s="29" t="s">
        <v>277</v>
      </c>
      <c r="E7" s="23">
        <v>2</v>
      </c>
      <c r="F7" s="24" t="s">
        <v>359</v>
      </c>
    </row>
    <row r="8" spans="1:6" ht="12.75">
      <c r="A8" s="25">
        <v>1</v>
      </c>
      <c r="B8" s="30" t="s">
        <v>190</v>
      </c>
      <c r="C8" s="25">
        <v>3</v>
      </c>
      <c r="D8" s="29" t="s">
        <v>278</v>
      </c>
      <c r="E8" s="23">
        <v>3</v>
      </c>
      <c r="F8" s="24" t="s">
        <v>360</v>
      </c>
    </row>
    <row r="9" spans="1:6" ht="12.75">
      <c r="A9" s="31">
        <v>2</v>
      </c>
      <c r="B9" s="32" t="s">
        <v>191</v>
      </c>
      <c r="C9" s="25">
        <v>4</v>
      </c>
      <c r="D9" s="29" t="s">
        <v>279</v>
      </c>
      <c r="E9" s="23">
        <v>4</v>
      </c>
      <c r="F9" s="24" t="s">
        <v>361</v>
      </c>
    </row>
    <row r="10" spans="1:6" ht="12.75">
      <c r="A10" s="25">
        <v>3</v>
      </c>
      <c r="B10" s="30" t="s">
        <v>192</v>
      </c>
      <c r="C10" s="25">
        <v>5</v>
      </c>
      <c r="D10" s="29" t="s">
        <v>280</v>
      </c>
      <c r="E10" s="23">
        <v>5</v>
      </c>
      <c r="F10" s="24" t="s">
        <v>362</v>
      </c>
    </row>
    <row r="11" spans="1:6" ht="12.75">
      <c r="A11" s="31">
        <v>4</v>
      </c>
      <c r="B11" s="32" t="s">
        <v>193</v>
      </c>
      <c r="C11" s="25">
        <v>6</v>
      </c>
      <c r="D11" s="29" t="s">
        <v>281</v>
      </c>
      <c r="E11" s="23">
        <v>6</v>
      </c>
      <c r="F11" s="24" t="s">
        <v>363</v>
      </c>
    </row>
    <row r="12" spans="1:6" ht="12.75">
      <c r="A12" s="25">
        <v>5</v>
      </c>
      <c r="B12" s="32" t="s">
        <v>374</v>
      </c>
      <c r="D12" s="29"/>
      <c r="E12" s="23">
        <v>7</v>
      </c>
      <c r="F12" s="24" t="s">
        <v>364</v>
      </c>
    </row>
    <row r="13" spans="1:6" ht="12.75">
      <c r="A13" s="31">
        <v>6</v>
      </c>
      <c r="B13" s="32" t="s">
        <v>375</v>
      </c>
      <c r="C13" s="25">
        <v>7</v>
      </c>
      <c r="D13" s="27" t="s">
        <v>117</v>
      </c>
      <c r="E13" s="23">
        <v>8</v>
      </c>
      <c r="F13" s="24" t="s">
        <v>365</v>
      </c>
    </row>
    <row r="14" spans="1:6" ht="12.75">
      <c r="A14" s="25">
        <v>7</v>
      </c>
      <c r="B14" s="32" t="s">
        <v>376</v>
      </c>
      <c r="C14" s="25">
        <v>8</v>
      </c>
      <c r="D14" s="29" t="s">
        <v>282</v>
      </c>
      <c r="E14" s="23"/>
      <c r="F14" s="24"/>
    </row>
    <row r="15" spans="1:6" ht="12.75">
      <c r="A15" s="31">
        <v>8</v>
      </c>
      <c r="B15" s="32" t="s">
        <v>377</v>
      </c>
      <c r="C15" s="25">
        <v>9</v>
      </c>
      <c r="D15" s="29" t="s">
        <v>283</v>
      </c>
      <c r="E15" s="23"/>
      <c r="F15" s="24"/>
    </row>
    <row r="16" spans="1:6" ht="12.75">
      <c r="A16" s="25">
        <v>9</v>
      </c>
      <c r="B16" s="32" t="s">
        <v>378</v>
      </c>
      <c r="C16" s="25">
        <v>10</v>
      </c>
      <c r="D16" s="29" t="s">
        <v>284</v>
      </c>
      <c r="E16" s="23"/>
      <c r="F16" s="24"/>
    </row>
    <row r="17" spans="1:6" ht="12.75">
      <c r="A17" s="31">
        <v>10</v>
      </c>
      <c r="B17" s="32" t="s">
        <v>379</v>
      </c>
      <c r="C17" s="25">
        <v>11</v>
      </c>
      <c r="D17" s="29" t="s">
        <v>285</v>
      </c>
      <c r="E17" s="23"/>
      <c r="F17" s="24"/>
    </row>
    <row r="18" spans="1:6" ht="12.75">
      <c r="A18" s="25">
        <v>11</v>
      </c>
      <c r="B18" s="32" t="s">
        <v>380</v>
      </c>
      <c r="C18" s="25">
        <v>12</v>
      </c>
      <c r="D18" s="29" t="s">
        <v>286</v>
      </c>
      <c r="E18" s="23"/>
      <c r="F18" s="24"/>
    </row>
    <row r="19" spans="1:6" ht="12.75">
      <c r="A19" s="25">
        <v>12</v>
      </c>
      <c r="B19" s="32" t="s">
        <v>194</v>
      </c>
      <c r="D19" s="29"/>
      <c r="E19" s="23"/>
      <c r="F19" s="24"/>
    </row>
    <row r="20" spans="1:6" ht="12.75">
      <c r="A20" s="25">
        <v>13</v>
      </c>
      <c r="B20" s="30" t="s">
        <v>195</v>
      </c>
      <c r="C20" s="25">
        <v>13</v>
      </c>
      <c r="D20" s="27" t="s">
        <v>114</v>
      </c>
      <c r="E20" s="23"/>
      <c r="F20" s="24"/>
    </row>
    <row r="21" spans="1:6" ht="12.75">
      <c r="A21" s="25">
        <v>14</v>
      </c>
      <c r="B21" s="30" t="s">
        <v>196</v>
      </c>
      <c r="C21" s="25">
        <v>14</v>
      </c>
      <c r="D21" s="29" t="s">
        <v>287</v>
      </c>
      <c r="E21" s="23"/>
      <c r="F21" s="24"/>
    </row>
    <row r="22" spans="1:6" ht="12.75">
      <c r="A22" s="25">
        <v>15</v>
      </c>
      <c r="B22" s="30" t="s">
        <v>197</v>
      </c>
      <c r="C22" s="25">
        <v>15</v>
      </c>
      <c r="D22" s="29" t="s">
        <v>288</v>
      </c>
      <c r="E22" s="23"/>
      <c r="F22" s="24"/>
    </row>
    <row r="23" spans="1:6" ht="12.75">
      <c r="A23" s="25">
        <v>16</v>
      </c>
      <c r="B23" s="30" t="s">
        <v>366</v>
      </c>
      <c r="C23" s="25">
        <v>16</v>
      </c>
      <c r="D23" s="29" t="s">
        <v>289</v>
      </c>
      <c r="E23" s="23"/>
      <c r="F23" s="24"/>
    </row>
    <row r="24" spans="1:6" ht="12.75">
      <c r="A24" s="25">
        <v>17</v>
      </c>
      <c r="B24" s="30" t="s">
        <v>367</v>
      </c>
      <c r="C24" s="25">
        <v>17</v>
      </c>
      <c r="D24" s="29" t="s">
        <v>290</v>
      </c>
      <c r="E24" s="23"/>
      <c r="F24" s="24"/>
    </row>
    <row r="25" spans="1:6" ht="12.75">
      <c r="A25" s="25">
        <v>18</v>
      </c>
      <c r="B25" s="30" t="s">
        <v>368</v>
      </c>
      <c r="C25" s="25">
        <v>18</v>
      </c>
      <c r="D25" s="29" t="s">
        <v>291</v>
      </c>
      <c r="E25" s="23"/>
      <c r="F25" s="24"/>
    </row>
    <row r="26" spans="1:6" ht="12.75">
      <c r="A26" s="25">
        <v>19</v>
      </c>
      <c r="B26" s="32" t="s">
        <v>198</v>
      </c>
      <c r="D26" s="29"/>
      <c r="E26" s="23"/>
      <c r="F26" s="24"/>
    </row>
    <row r="27" spans="1:6" ht="12.75">
      <c r="A27" s="25">
        <v>20</v>
      </c>
      <c r="B27" s="30" t="s">
        <v>199</v>
      </c>
      <c r="C27" s="25">
        <v>19</v>
      </c>
      <c r="D27" s="27" t="s">
        <v>115</v>
      </c>
      <c r="E27" s="23"/>
      <c r="F27" s="24"/>
    </row>
    <row r="28" spans="1:6" ht="12.75">
      <c r="A28" s="25">
        <v>21</v>
      </c>
      <c r="B28" s="30" t="s">
        <v>200</v>
      </c>
      <c r="C28" s="25">
        <v>20</v>
      </c>
      <c r="D28" s="29" t="s">
        <v>292</v>
      </c>
      <c r="E28" s="23"/>
      <c r="F28" s="24"/>
    </row>
    <row r="29" spans="1:6" ht="12.75">
      <c r="A29" s="25">
        <v>22</v>
      </c>
      <c r="B29" s="30" t="s">
        <v>201</v>
      </c>
      <c r="C29" s="25">
        <v>21</v>
      </c>
      <c r="D29" s="29" t="s">
        <v>293</v>
      </c>
      <c r="E29" s="23"/>
      <c r="F29" s="24"/>
    </row>
    <row r="30" spans="1:6" ht="12.75">
      <c r="A30" s="25">
        <v>23</v>
      </c>
      <c r="B30" s="30" t="s">
        <v>202</v>
      </c>
      <c r="C30" s="25">
        <v>22</v>
      </c>
      <c r="D30" s="29" t="s">
        <v>294</v>
      </c>
      <c r="E30" s="23"/>
      <c r="F30" s="24"/>
    </row>
    <row r="31" spans="1:6" ht="12.75">
      <c r="A31" s="25">
        <v>24</v>
      </c>
      <c r="B31" s="32" t="s">
        <v>203</v>
      </c>
      <c r="C31" s="25">
        <v>23</v>
      </c>
      <c r="D31" s="29" t="s">
        <v>295</v>
      </c>
      <c r="E31" s="23"/>
      <c r="F31" s="24"/>
    </row>
    <row r="32" spans="1:6" ht="12.75">
      <c r="A32" s="25">
        <v>25</v>
      </c>
      <c r="B32" s="32" t="s">
        <v>204</v>
      </c>
      <c r="C32" s="25">
        <v>24</v>
      </c>
      <c r="D32" s="29" t="s">
        <v>296</v>
      </c>
      <c r="E32" s="23"/>
      <c r="F32" s="24"/>
    </row>
    <row r="33" spans="1:6" ht="12.75">
      <c r="A33" s="25">
        <v>26</v>
      </c>
      <c r="B33" s="32" t="s">
        <v>205</v>
      </c>
      <c r="D33" s="29"/>
      <c r="E33" s="23"/>
      <c r="F33" s="24"/>
    </row>
    <row r="34" spans="1:6" ht="12.75">
      <c r="A34" s="25">
        <v>27</v>
      </c>
      <c r="B34" s="32" t="s">
        <v>206</v>
      </c>
      <c r="C34" s="25">
        <v>25</v>
      </c>
      <c r="D34" s="27" t="s">
        <v>116</v>
      </c>
      <c r="E34" s="23"/>
      <c r="F34" s="24"/>
    </row>
    <row r="35" spans="1:6" ht="12.75">
      <c r="A35" s="25">
        <v>28</v>
      </c>
      <c r="B35" s="32" t="s">
        <v>207</v>
      </c>
      <c r="C35" s="25">
        <v>26</v>
      </c>
      <c r="D35" s="29" t="s">
        <v>297</v>
      </c>
      <c r="E35" s="23"/>
      <c r="F35" s="24"/>
    </row>
    <row r="36" spans="1:6" ht="12.75">
      <c r="A36" s="25">
        <v>29</v>
      </c>
      <c r="B36" s="32" t="s">
        <v>208</v>
      </c>
      <c r="C36" s="25">
        <v>27</v>
      </c>
      <c r="D36" s="29" t="s">
        <v>298</v>
      </c>
      <c r="E36" s="23"/>
      <c r="F36" s="24"/>
    </row>
    <row r="37" spans="1:6" ht="12.75">
      <c r="A37" s="25">
        <v>30</v>
      </c>
      <c r="B37" s="32" t="s">
        <v>209</v>
      </c>
      <c r="C37" s="25">
        <v>28</v>
      </c>
      <c r="D37" s="29" t="s">
        <v>299</v>
      </c>
      <c r="E37" s="23"/>
      <c r="F37" s="24"/>
    </row>
    <row r="38" spans="1:6" ht="12.75">
      <c r="A38" s="25">
        <v>31</v>
      </c>
      <c r="B38" s="30" t="s">
        <v>210</v>
      </c>
      <c r="C38" s="25">
        <v>29</v>
      </c>
      <c r="D38" s="29" t="s">
        <v>300</v>
      </c>
      <c r="E38" s="23"/>
      <c r="F38" s="24"/>
    </row>
    <row r="39" spans="1:6" ht="12.75">
      <c r="A39" s="25">
        <v>32</v>
      </c>
      <c r="B39" s="32" t="s">
        <v>341</v>
      </c>
      <c r="C39" s="25">
        <v>30</v>
      </c>
      <c r="D39" s="29" t="s">
        <v>301</v>
      </c>
      <c r="E39" s="23"/>
      <c r="F39" s="24"/>
    </row>
    <row r="40" spans="1:6" ht="12.75">
      <c r="A40" s="25">
        <v>33</v>
      </c>
      <c r="B40" s="30" t="s">
        <v>211</v>
      </c>
      <c r="D40" s="29"/>
      <c r="E40" s="23"/>
      <c r="F40" s="24"/>
    </row>
    <row r="41" spans="1:6" ht="12.75">
      <c r="A41" s="25">
        <v>34</v>
      </c>
      <c r="B41" s="30" t="s">
        <v>212</v>
      </c>
      <c r="C41" s="25">
        <v>31</v>
      </c>
      <c r="D41" s="27" t="s">
        <v>120</v>
      </c>
      <c r="E41" s="23"/>
      <c r="F41" s="24"/>
    </row>
    <row r="42" spans="1:6" ht="12.75">
      <c r="A42" s="25">
        <v>35</v>
      </c>
      <c r="B42" s="30" t="s">
        <v>213</v>
      </c>
      <c r="C42" s="25">
        <v>32</v>
      </c>
      <c r="D42" s="29" t="s">
        <v>302</v>
      </c>
      <c r="E42" s="23"/>
      <c r="F42" s="24"/>
    </row>
    <row r="43" spans="1:6" ht="12.75">
      <c r="A43" s="25">
        <v>36</v>
      </c>
      <c r="B43" s="30" t="s">
        <v>214</v>
      </c>
      <c r="C43" s="25">
        <v>33</v>
      </c>
      <c r="D43" s="29" t="s">
        <v>303</v>
      </c>
      <c r="E43" s="23"/>
      <c r="F43" s="24"/>
    </row>
    <row r="44" spans="1:6" ht="12.75">
      <c r="A44" s="25">
        <v>37</v>
      </c>
      <c r="B44" s="30" t="s">
        <v>215</v>
      </c>
      <c r="C44" s="25">
        <v>34</v>
      </c>
      <c r="D44" s="29" t="s">
        <v>304</v>
      </c>
      <c r="E44" s="23"/>
      <c r="F44" s="24"/>
    </row>
    <row r="45" spans="1:6" ht="12.75">
      <c r="A45" s="25">
        <v>38</v>
      </c>
      <c r="B45" s="30" t="s">
        <v>216</v>
      </c>
      <c r="C45" s="25">
        <v>35</v>
      </c>
      <c r="D45" s="29" t="s">
        <v>305</v>
      </c>
      <c r="E45" s="23"/>
      <c r="F45" s="24"/>
    </row>
    <row r="46" spans="1:6" ht="12.75">
      <c r="A46" s="25">
        <v>39</v>
      </c>
      <c r="B46" s="30" t="s">
        <v>217</v>
      </c>
      <c r="C46" s="25">
        <v>36</v>
      </c>
      <c r="D46" s="29" t="s">
        <v>306</v>
      </c>
      <c r="E46" s="23"/>
      <c r="F46" s="24"/>
    </row>
    <row r="47" spans="1:6" ht="12.75">
      <c r="A47" s="25">
        <v>40</v>
      </c>
      <c r="B47" s="30" t="s">
        <v>218</v>
      </c>
      <c r="C47" s="45"/>
      <c r="D47" s="29"/>
      <c r="E47" s="23"/>
      <c r="F47" s="24"/>
    </row>
    <row r="48" spans="1:6" ht="12.75">
      <c r="A48" s="25">
        <v>41</v>
      </c>
      <c r="B48" s="30" t="s">
        <v>219</v>
      </c>
      <c r="C48" s="25">
        <v>37</v>
      </c>
      <c r="D48" s="27" t="s">
        <v>119</v>
      </c>
      <c r="E48" s="23"/>
      <c r="F48" s="24"/>
    </row>
    <row r="49" spans="1:6" ht="12.75">
      <c r="A49" s="25">
        <v>42</v>
      </c>
      <c r="B49" s="32" t="s">
        <v>220</v>
      </c>
      <c r="C49" s="25">
        <v>38</v>
      </c>
      <c r="D49" s="29" t="s">
        <v>307</v>
      </c>
      <c r="E49" s="23"/>
      <c r="F49" s="24"/>
    </row>
    <row r="50" spans="1:6" ht="12.75">
      <c r="A50" s="25">
        <v>43</v>
      </c>
      <c r="B50" s="30" t="s">
        <v>221</v>
      </c>
      <c r="C50" s="25">
        <v>39</v>
      </c>
      <c r="D50" s="29" t="s">
        <v>308</v>
      </c>
      <c r="E50" s="23"/>
      <c r="F50" s="24"/>
    </row>
    <row r="51" spans="1:6" ht="12.75">
      <c r="A51" s="25">
        <v>44</v>
      </c>
      <c r="B51" s="30" t="s">
        <v>222</v>
      </c>
      <c r="C51" s="25">
        <v>40</v>
      </c>
      <c r="D51" s="29" t="s">
        <v>309</v>
      </c>
      <c r="E51" s="23"/>
      <c r="F51" s="24"/>
    </row>
    <row r="52" spans="1:6" ht="12.75">
      <c r="A52" s="25">
        <v>45</v>
      </c>
      <c r="B52" s="30" t="s">
        <v>223</v>
      </c>
      <c r="C52" s="25">
        <v>41</v>
      </c>
      <c r="D52" s="29" t="s">
        <v>310</v>
      </c>
      <c r="E52" s="23"/>
      <c r="F52" s="24"/>
    </row>
    <row r="53" spans="1:6" ht="12.75">
      <c r="A53" s="25">
        <v>46</v>
      </c>
      <c r="B53" s="30" t="s">
        <v>224</v>
      </c>
      <c r="C53" s="25">
        <v>42</v>
      </c>
      <c r="D53" s="29" t="s">
        <v>311</v>
      </c>
      <c r="E53" s="23"/>
      <c r="F53" s="24"/>
    </row>
    <row r="54" spans="1:6" ht="12.75">
      <c r="A54" s="25">
        <v>47</v>
      </c>
      <c r="B54" s="30" t="s">
        <v>381</v>
      </c>
      <c r="D54" s="29"/>
      <c r="E54" s="23"/>
      <c r="F54" s="24"/>
    </row>
    <row r="55" spans="1:6" ht="12.75">
      <c r="A55" s="25">
        <v>48</v>
      </c>
      <c r="B55" s="30" t="s">
        <v>382</v>
      </c>
      <c r="C55" s="25">
        <v>43</v>
      </c>
      <c r="D55" s="27" t="s">
        <v>118</v>
      </c>
      <c r="E55" s="23"/>
      <c r="F55" s="24"/>
    </row>
    <row r="56" spans="1:6" ht="12.75">
      <c r="A56" s="25">
        <v>49</v>
      </c>
      <c r="B56" s="30" t="s">
        <v>383</v>
      </c>
      <c r="C56" s="25">
        <v>44</v>
      </c>
      <c r="D56" s="29" t="s">
        <v>312</v>
      </c>
      <c r="E56" s="23"/>
      <c r="F56" s="24"/>
    </row>
    <row r="57" spans="1:6" ht="12.75">
      <c r="A57" s="25">
        <v>50</v>
      </c>
      <c r="B57" s="30" t="s">
        <v>384</v>
      </c>
      <c r="C57" s="25">
        <v>45</v>
      </c>
      <c r="D57" s="29" t="s">
        <v>313</v>
      </c>
      <c r="E57" s="23"/>
      <c r="F57" s="24"/>
    </row>
    <row r="58" spans="1:6" ht="12.75">
      <c r="A58" s="25">
        <v>51</v>
      </c>
      <c r="B58" s="30" t="s">
        <v>385</v>
      </c>
      <c r="C58" s="25">
        <v>46</v>
      </c>
      <c r="D58" s="29" t="s">
        <v>314</v>
      </c>
      <c r="E58" s="23"/>
      <c r="F58" s="24"/>
    </row>
    <row r="59" spans="1:6" ht="12.75">
      <c r="A59" s="25">
        <v>52</v>
      </c>
      <c r="B59" s="30" t="s">
        <v>386</v>
      </c>
      <c r="C59" s="25">
        <v>47</v>
      </c>
      <c r="D59" s="29" t="s">
        <v>315</v>
      </c>
      <c r="E59" s="23"/>
      <c r="F59" s="24"/>
    </row>
    <row r="60" spans="1:6" ht="12.75">
      <c r="A60" s="25">
        <v>53</v>
      </c>
      <c r="B60" s="30" t="s">
        <v>387</v>
      </c>
      <c r="C60" s="25">
        <v>48</v>
      </c>
      <c r="D60" s="29" t="s">
        <v>316</v>
      </c>
      <c r="E60" s="23"/>
      <c r="F60" s="24"/>
    </row>
    <row r="61" spans="1:6" ht="12.75">
      <c r="A61" s="25">
        <v>54</v>
      </c>
      <c r="B61" s="30" t="s">
        <v>388</v>
      </c>
      <c r="D61" s="29"/>
      <c r="E61" s="23"/>
      <c r="F61" s="24"/>
    </row>
    <row r="62" spans="1:6" ht="12.75">
      <c r="A62" s="25">
        <v>55</v>
      </c>
      <c r="B62" s="30" t="s">
        <v>389</v>
      </c>
      <c r="C62" s="25">
        <v>49</v>
      </c>
      <c r="D62" s="27" t="s">
        <v>317</v>
      </c>
      <c r="E62" s="23"/>
      <c r="F62" s="24"/>
    </row>
    <row r="63" spans="1:6" ht="12.75">
      <c r="A63" s="25">
        <v>56</v>
      </c>
      <c r="B63" s="30" t="s">
        <v>390</v>
      </c>
      <c r="C63" s="25">
        <v>50</v>
      </c>
      <c r="D63" s="33" t="s">
        <v>318</v>
      </c>
      <c r="E63" s="23"/>
      <c r="F63" s="24"/>
    </row>
    <row r="64" spans="1:6" ht="14.25" customHeight="1">
      <c r="A64" s="25">
        <v>57</v>
      </c>
      <c r="B64" s="30" t="s">
        <v>391</v>
      </c>
      <c r="C64" s="25">
        <v>51</v>
      </c>
      <c r="D64" s="33" t="s">
        <v>111</v>
      </c>
      <c r="E64" s="23"/>
      <c r="F64" s="24"/>
    </row>
    <row r="65" spans="1:6" ht="12.75">
      <c r="A65" s="25">
        <v>58</v>
      </c>
      <c r="B65" s="30" t="s">
        <v>392</v>
      </c>
      <c r="C65" s="25">
        <v>52</v>
      </c>
      <c r="D65" s="33" t="s">
        <v>112</v>
      </c>
      <c r="E65" s="23"/>
      <c r="F65" s="24"/>
    </row>
    <row r="66" spans="1:6" ht="12.75">
      <c r="A66" s="25">
        <v>59</v>
      </c>
      <c r="B66" s="30" t="s">
        <v>393</v>
      </c>
      <c r="C66" s="25">
        <v>53</v>
      </c>
      <c r="D66" s="33" t="s">
        <v>113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369</v>
      </c>
      <c r="C68" s="25">
        <v>54</v>
      </c>
      <c r="D68" s="27" t="s">
        <v>123</v>
      </c>
      <c r="E68" s="23"/>
      <c r="F68" s="24"/>
    </row>
    <row r="69" spans="1:6" ht="12.75">
      <c r="A69" s="31"/>
      <c r="B69" s="28"/>
      <c r="C69" s="25">
        <v>55</v>
      </c>
      <c r="D69" s="33" t="s">
        <v>124</v>
      </c>
      <c r="E69" s="23"/>
      <c r="F69" s="24"/>
    </row>
    <row r="70" spans="1:6" ht="12.75" customHeight="1">
      <c r="A70" s="25">
        <v>60</v>
      </c>
      <c r="B70" s="32" t="s">
        <v>225</v>
      </c>
      <c r="C70" s="25">
        <v>56</v>
      </c>
      <c r="D70" s="29" t="s">
        <v>163</v>
      </c>
      <c r="E70" s="23"/>
      <c r="F70" s="24"/>
    </row>
    <row r="71" spans="1:6" ht="13.5" customHeight="1">
      <c r="A71" s="31">
        <v>61</v>
      </c>
      <c r="B71" s="32" t="s">
        <v>226</v>
      </c>
      <c r="C71" s="25">
        <v>57</v>
      </c>
      <c r="D71" s="29" t="s">
        <v>164</v>
      </c>
      <c r="E71" s="23"/>
      <c r="F71" s="24"/>
    </row>
    <row r="72" spans="1:6" ht="12.75">
      <c r="A72" s="25">
        <v>62</v>
      </c>
      <c r="B72" s="32" t="s">
        <v>227</v>
      </c>
      <c r="D72" s="33"/>
      <c r="E72" s="23"/>
      <c r="F72" s="24"/>
    </row>
    <row r="73" spans="1:6" ht="12.75">
      <c r="A73" s="31">
        <v>63</v>
      </c>
      <c r="B73" s="32" t="s">
        <v>228</v>
      </c>
      <c r="C73" s="25">
        <v>58</v>
      </c>
      <c r="D73" s="27" t="s">
        <v>106</v>
      </c>
      <c r="E73" s="23"/>
      <c r="F73" s="24"/>
    </row>
    <row r="74" spans="1:6" ht="12.75">
      <c r="A74" s="25">
        <v>64</v>
      </c>
      <c r="B74" s="32" t="s">
        <v>229</v>
      </c>
      <c r="C74" s="25">
        <v>59</v>
      </c>
      <c r="D74" s="33" t="s">
        <v>107</v>
      </c>
      <c r="E74" s="23"/>
      <c r="F74" s="24"/>
    </row>
    <row r="75" spans="1:6" ht="12.75">
      <c r="A75" s="31">
        <v>65</v>
      </c>
      <c r="B75" s="32" t="s">
        <v>230</v>
      </c>
      <c r="C75" s="25">
        <v>60</v>
      </c>
      <c r="D75" s="33" t="s">
        <v>108</v>
      </c>
      <c r="E75" s="23"/>
      <c r="F75" s="24"/>
    </row>
    <row r="76" spans="1:6" ht="12.75">
      <c r="A76" s="25">
        <v>66</v>
      </c>
      <c r="B76" s="32" t="s">
        <v>231</v>
      </c>
      <c r="C76" s="25">
        <v>61</v>
      </c>
      <c r="D76" s="33" t="s">
        <v>109</v>
      </c>
      <c r="E76" s="23"/>
      <c r="F76" s="24"/>
    </row>
    <row r="77" spans="1:6" ht="12.75">
      <c r="A77" s="31">
        <v>67</v>
      </c>
      <c r="B77" s="32" t="s">
        <v>232</v>
      </c>
      <c r="C77" s="25">
        <v>62</v>
      </c>
      <c r="D77" s="33" t="s">
        <v>110</v>
      </c>
      <c r="E77" s="23"/>
      <c r="F77" s="24"/>
    </row>
    <row r="78" spans="1:6" ht="12.75">
      <c r="A78" s="25">
        <v>68</v>
      </c>
      <c r="B78" s="32" t="s">
        <v>233</v>
      </c>
      <c r="C78" s="25">
        <v>63</v>
      </c>
      <c r="D78" s="29" t="s">
        <v>147</v>
      </c>
      <c r="E78" s="23"/>
      <c r="F78" s="24"/>
    </row>
    <row r="79" spans="1:6" ht="12.75">
      <c r="A79" s="31">
        <v>69</v>
      </c>
      <c r="B79" s="32" t="s">
        <v>234</v>
      </c>
      <c r="C79" s="25">
        <v>64</v>
      </c>
      <c r="D79" s="33" t="s">
        <v>148</v>
      </c>
      <c r="E79" s="23"/>
      <c r="F79" s="24"/>
    </row>
    <row r="80" spans="1:6" ht="12.75">
      <c r="A80" s="25">
        <v>70</v>
      </c>
      <c r="B80" s="32" t="s">
        <v>235</v>
      </c>
      <c r="C80" s="25">
        <v>65</v>
      </c>
      <c r="D80" s="33" t="s">
        <v>153</v>
      </c>
      <c r="E80" s="23"/>
      <c r="F80" s="24"/>
    </row>
    <row r="81" spans="1:6" ht="12.75">
      <c r="A81" s="31">
        <v>71</v>
      </c>
      <c r="B81" s="32" t="s">
        <v>236</v>
      </c>
      <c r="C81" s="25">
        <v>66</v>
      </c>
      <c r="D81" s="33" t="s">
        <v>149</v>
      </c>
      <c r="E81" s="23"/>
      <c r="F81" s="24"/>
    </row>
    <row r="82" spans="1:6" ht="12" customHeight="1">
      <c r="A82" s="25">
        <v>72</v>
      </c>
      <c r="B82" s="32" t="s">
        <v>237</v>
      </c>
      <c r="C82" s="25">
        <v>67</v>
      </c>
      <c r="D82" s="33" t="s">
        <v>150</v>
      </c>
      <c r="E82" s="23"/>
      <c r="F82" s="24"/>
    </row>
    <row r="83" spans="1:6" ht="12.75" customHeight="1">
      <c r="A83" s="31">
        <v>73</v>
      </c>
      <c r="B83" s="32" t="s">
        <v>238</v>
      </c>
      <c r="C83" s="25">
        <v>68</v>
      </c>
      <c r="D83" s="33" t="s">
        <v>151</v>
      </c>
      <c r="E83" s="23"/>
      <c r="F83" s="24"/>
    </row>
    <row r="84" spans="1:6" ht="12.75">
      <c r="A84" s="25">
        <v>74</v>
      </c>
      <c r="B84" s="32" t="s">
        <v>239</v>
      </c>
      <c r="C84" s="25">
        <v>69</v>
      </c>
      <c r="D84" s="33" t="s">
        <v>152</v>
      </c>
      <c r="E84" s="23"/>
      <c r="F84" s="24"/>
    </row>
    <row r="85" spans="1:6" ht="12.75">
      <c r="A85" s="31">
        <v>75</v>
      </c>
      <c r="B85" s="32" t="s">
        <v>240</v>
      </c>
      <c r="C85" s="25">
        <v>70</v>
      </c>
      <c r="D85" s="29" t="s">
        <v>155</v>
      </c>
      <c r="E85" s="23"/>
      <c r="F85" s="24"/>
    </row>
    <row r="86" spans="1:6" ht="12.75">
      <c r="A86" s="25">
        <v>76</v>
      </c>
      <c r="B86" s="32" t="s">
        <v>241</v>
      </c>
      <c r="C86" s="25">
        <v>71</v>
      </c>
      <c r="D86" s="29" t="s">
        <v>156</v>
      </c>
      <c r="E86" s="23"/>
      <c r="F86" s="24"/>
    </row>
    <row r="87" spans="1:6" ht="12.75">
      <c r="A87" s="31">
        <v>77</v>
      </c>
      <c r="B87" s="32" t="s">
        <v>242</v>
      </c>
      <c r="C87" s="25">
        <v>72</v>
      </c>
      <c r="D87" s="29" t="s">
        <v>169</v>
      </c>
      <c r="E87" s="23"/>
      <c r="F87" s="24"/>
    </row>
    <row r="88" spans="1:6" ht="12.75">
      <c r="A88" s="25"/>
      <c r="B88" s="34"/>
      <c r="C88" s="25">
        <v>73</v>
      </c>
      <c r="D88" s="29" t="s">
        <v>168</v>
      </c>
      <c r="E88" s="23"/>
      <c r="F88" s="24"/>
    </row>
    <row r="89" spans="1:6" ht="12.75">
      <c r="A89" s="25"/>
      <c r="B89" s="26" t="s">
        <v>370</v>
      </c>
      <c r="C89" s="25">
        <v>74</v>
      </c>
      <c r="D89" s="29" t="s">
        <v>167</v>
      </c>
      <c r="E89" s="23"/>
      <c r="F89" s="24"/>
    </row>
    <row r="90" spans="1:6" ht="12.75">
      <c r="A90" s="25"/>
      <c r="B90" s="26"/>
      <c r="C90" s="25">
        <v>75</v>
      </c>
      <c r="D90" s="29" t="s">
        <v>166</v>
      </c>
      <c r="E90" s="23"/>
      <c r="F90" s="24"/>
    </row>
    <row r="91" spans="1:6" ht="12.75">
      <c r="A91" s="25">
        <v>78</v>
      </c>
      <c r="B91" s="32" t="s">
        <v>394</v>
      </c>
      <c r="C91" s="25">
        <v>76</v>
      </c>
      <c r="D91" s="29" t="s">
        <v>165</v>
      </c>
      <c r="E91" s="23"/>
      <c r="F91" s="24"/>
    </row>
    <row r="92" spans="1:6" ht="12.75">
      <c r="A92" s="25">
        <v>79</v>
      </c>
      <c r="B92" s="32" t="s">
        <v>395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396</v>
      </c>
      <c r="C93" s="25">
        <v>77</v>
      </c>
      <c r="D93" s="27" t="s">
        <v>319</v>
      </c>
      <c r="E93" s="23"/>
      <c r="F93" s="24"/>
    </row>
    <row r="94" spans="1:6" ht="12.75">
      <c r="A94" s="25">
        <v>81</v>
      </c>
      <c r="B94" s="32" t="s">
        <v>397</v>
      </c>
      <c r="C94" s="25">
        <v>78</v>
      </c>
      <c r="D94" s="33" t="s">
        <v>320</v>
      </c>
      <c r="E94" s="23"/>
      <c r="F94" s="24"/>
    </row>
    <row r="95" spans="1:6" ht="12.75">
      <c r="A95" s="25">
        <v>82</v>
      </c>
      <c r="B95" s="32" t="s">
        <v>243</v>
      </c>
      <c r="C95" s="25">
        <v>79</v>
      </c>
      <c r="D95" s="33" t="s">
        <v>321</v>
      </c>
      <c r="E95" s="23"/>
      <c r="F95" s="24"/>
    </row>
    <row r="96" spans="1:6" ht="25.5">
      <c r="A96" s="25">
        <v>83</v>
      </c>
      <c r="B96" s="32" t="s">
        <v>244</v>
      </c>
      <c r="C96" s="25">
        <v>80</v>
      </c>
      <c r="D96" s="33" t="s">
        <v>322</v>
      </c>
      <c r="E96" s="23"/>
      <c r="F96" s="24"/>
    </row>
    <row r="97" spans="1:6" ht="12.75">
      <c r="A97" s="25">
        <v>84</v>
      </c>
      <c r="B97" s="32" t="s">
        <v>245</v>
      </c>
      <c r="C97" s="25">
        <v>81</v>
      </c>
      <c r="D97" s="33" t="s">
        <v>323</v>
      </c>
      <c r="E97" s="23"/>
      <c r="F97" s="24"/>
    </row>
    <row r="98" spans="1:6" ht="12.75">
      <c r="A98" s="25">
        <v>85</v>
      </c>
      <c r="B98" s="32" t="s">
        <v>246</v>
      </c>
      <c r="D98" s="33"/>
      <c r="E98" s="23"/>
      <c r="F98" s="24"/>
    </row>
    <row r="99" spans="1:6" ht="12.75">
      <c r="A99" s="25">
        <v>86</v>
      </c>
      <c r="B99" s="32" t="s">
        <v>247</v>
      </c>
      <c r="C99" s="25">
        <v>82</v>
      </c>
      <c r="D99" s="27" t="s">
        <v>121</v>
      </c>
      <c r="E99" s="23"/>
      <c r="F99" s="24"/>
    </row>
    <row r="100" spans="1:6" ht="12.75">
      <c r="A100" s="25">
        <v>87</v>
      </c>
      <c r="B100" s="32" t="s">
        <v>248</v>
      </c>
      <c r="C100" s="25">
        <v>83</v>
      </c>
      <c r="D100" s="33" t="s">
        <v>324</v>
      </c>
      <c r="E100" s="23"/>
      <c r="F100" s="24"/>
    </row>
    <row r="101" spans="1:6" ht="12.75">
      <c r="A101" s="25">
        <v>88</v>
      </c>
      <c r="B101" s="32" t="s">
        <v>249</v>
      </c>
      <c r="C101" s="25">
        <v>84</v>
      </c>
      <c r="D101" s="33" t="s">
        <v>325</v>
      </c>
      <c r="E101" s="23"/>
      <c r="F101" s="24"/>
    </row>
    <row r="102" spans="1:6" ht="25.5">
      <c r="A102" s="25">
        <v>89</v>
      </c>
      <c r="B102" s="32" t="s">
        <v>250</v>
      </c>
      <c r="C102" s="25">
        <v>85</v>
      </c>
      <c r="D102" s="33" t="s">
        <v>326</v>
      </c>
      <c r="E102" s="23"/>
      <c r="F102" s="24"/>
    </row>
    <row r="103" spans="1:6" ht="12.75">
      <c r="A103" s="25">
        <v>90</v>
      </c>
      <c r="B103" s="32" t="s">
        <v>251</v>
      </c>
      <c r="C103" s="25">
        <v>86</v>
      </c>
      <c r="D103" s="33" t="s">
        <v>327</v>
      </c>
      <c r="E103" s="23"/>
      <c r="F103" s="24"/>
    </row>
    <row r="104" spans="1:6" ht="12.75">
      <c r="A104" s="25">
        <v>91</v>
      </c>
      <c r="B104" s="32" t="s">
        <v>252</v>
      </c>
      <c r="C104" s="25">
        <v>87</v>
      </c>
      <c r="D104" s="29" t="s">
        <v>328</v>
      </c>
      <c r="E104" s="23"/>
      <c r="F104" s="24"/>
    </row>
    <row r="105" spans="1:6" ht="12.75">
      <c r="A105" s="25">
        <v>92</v>
      </c>
      <c r="B105" s="32" t="s">
        <v>253</v>
      </c>
      <c r="C105" s="25">
        <v>88</v>
      </c>
      <c r="D105" s="33" t="s">
        <v>329</v>
      </c>
      <c r="E105" s="23"/>
      <c r="F105" s="24"/>
    </row>
    <row r="106" spans="1:6" ht="12.75">
      <c r="A106" s="25">
        <v>93</v>
      </c>
      <c r="B106" s="32" t="s">
        <v>254</v>
      </c>
      <c r="C106" s="25">
        <v>89</v>
      </c>
      <c r="D106" s="33" t="s">
        <v>153</v>
      </c>
      <c r="E106" s="23"/>
      <c r="F106" s="24"/>
    </row>
    <row r="107" spans="1:6" ht="12.75">
      <c r="A107" s="25">
        <v>94</v>
      </c>
      <c r="B107" s="32" t="s">
        <v>255</v>
      </c>
      <c r="C107" s="25">
        <v>90</v>
      </c>
      <c r="D107" s="33" t="s">
        <v>122</v>
      </c>
      <c r="E107" s="23"/>
      <c r="F107" s="24"/>
    </row>
    <row r="108" spans="1:6" ht="12.75">
      <c r="A108" s="25">
        <v>95</v>
      </c>
      <c r="B108" s="32" t="s">
        <v>256</v>
      </c>
      <c r="C108" s="25">
        <v>91</v>
      </c>
      <c r="D108" s="33" t="s">
        <v>125</v>
      </c>
      <c r="E108" s="23"/>
      <c r="F108" s="24"/>
    </row>
    <row r="109" spans="1:6" ht="12.75">
      <c r="A109" s="25">
        <v>96</v>
      </c>
      <c r="B109" s="32" t="s">
        <v>257</v>
      </c>
      <c r="C109" s="25">
        <v>92</v>
      </c>
      <c r="D109" s="33" t="s">
        <v>330</v>
      </c>
      <c r="E109" s="23"/>
      <c r="F109" s="24"/>
    </row>
    <row r="110" spans="1:6" ht="12.75">
      <c r="A110" s="25">
        <v>97</v>
      </c>
      <c r="B110" s="32" t="s">
        <v>258</v>
      </c>
      <c r="C110" s="25">
        <v>93</v>
      </c>
      <c r="D110" s="33" t="s">
        <v>331</v>
      </c>
      <c r="E110" s="23"/>
      <c r="F110" s="24"/>
    </row>
    <row r="111" spans="1:6" ht="12.75">
      <c r="A111" s="25">
        <v>98</v>
      </c>
      <c r="B111" s="32" t="s">
        <v>259</v>
      </c>
      <c r="C111" s="25">
        <v>94</v>
      </c>
      <c r="D111" s="29" t="s">
        <v>157</v>
      </c>
      <c r="E111" s="23"/>
      <c r="F111" s="24"/>
    </row>
    <row r="112" spans="1:6" ht="12.75">
      <c r="A112" s="25">
        <v>99</v>
      </c>
      <c r="B112" s="32" t="s">
        <v>260</v>
      </c>
      <c r="C112" s="25">
        <v>95</v>
      </c>
      <c r="D112" s="29" t="s">
        <v>158</v>
      </c>
      <c r="E112" s="23"/>
      <c r="F112" s="24"/>
    </row>
    <row r="113" spans="1:6" ht="12.75">
      <c r="A113" s="25">
        <v>100</v>
      </c>
      <c r="B113" s="32" t="s">
        <v>261</v>
      </c>
      <c r="C113" s="25">
        <v>96</v>
      </c>
      <c r="D113" s="29" t="s">
        <v>170</v>
      </c>
      <c r="E113" s="23"/>
      <c r="F113" s="24"/>
    </row>
    <row r="114" spans="1:6" ht="12.75">
      <c r="A114" s="25">
        <v>101</v>
      </c>
      <c r="B114" s="32" t="s">
        <v>262</v>
      </c>
      <c r="C114" s="25">
        <v>97</v>
      </c>
      <c r="D114" s="29" t="s">
        <v>171</v>
      </c>
      <c r="E114" s="23"/>
      <c r="F114" s="24"/>
    </row>
    <row r="115" spans="1:6" ht="12.75">
      <c r="A115" s="25">
        <v>102</v>
      </c>
      <c r="B115" s="32" t="s">
        <v>398</v>
      </c>
      <c r="C115" s="25">
        <v>98</v>
      </c>
      <c r="D115" s="29" t="s">
        <v>172</v>
      </c>
      <c r="E115" s="23"/>
      <c r="F115" s="24"/>
    </row>
    <row r="116" spans="1:6" ht="12.75">
      <c r="A116" s="25">
        <v>103</v>
      </c>
      <c r="B116" s="32" t="s">
        <v>399</v>
      </c>
      <c r="C116" s="25">
        <v>99</v>
      </c>
      <c r="D116" s="29" t="s">
        <v>173</v>
      </c>
      <c r="E116" s="23"/>
      <c r="F116" s="24"/>
    </row>
    <row r="117" spans="1:6" ht="12.75">
      <c r="A117" s="25">
        <v>104</v>
      </c>
      <c r="B117" s="32" t="s">
        <v>400</v>
      </c>
      <c r="C117" s="25">
        <v>100</v>
      </c>
      <c r="D117" s="29" t="s">
        <v>174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371</v>
      </c>
      <c r="C119" s="25">
        <v>101</v>
      </c>
      <c r="D119" s="27" t="s">
        <v>142</v>
      </c>
      <c r="E119" s="23"/>
      <c r="F119" s="24"/>
    </row>
    <row r="120" spans="1:6" ht="12.75">
      <c r="A120" s="25"/>
      <c r="B120" s="30"/>
      <c r="C120" s="25">
        <v>102</v>
      </c>
      <c r="D120" s="29" t="s">
        <v>126</v>
      </c>
      <c r="E120" s="23"/>
      <c r="F120" s="24"/>
    </row>
    <row r="121" spans="1:6" ht="12.75">
      <c r="A121" s="25">
        <v>105</v>
      </c>
      <c r="B121" s="37" t="s">
        <v>342</v>
      </c>
      <c r="C121" s="25">
        <v>103</v>
      </c>
      <c r="D121" s="33" t="s">
        <v>127</v>
      </c>
      <c r="E121" s="23"/>
      <c r="F121" s="24"/>
    </row>
    <row r="122" spans="1:6" ht="12.75">
      <c r="A122" s="25">
        <v>106</v>
      </c>
      <c r="B122" s="37" t="s">
        <v>343</v>
      </c>
      <c r="C122" s="25">
        <v>104</v>
      </c>
      <c r="D122" s="33" t="s">
        <v>128</v>
      </c>
      <c r="E122" s="23"/>
      <c r="F122" s="24"/>
    </row>
    <row r="123" spans="1:6" ht="12.75">
      <c r="A123" s="25">
        <v>107</v>
      </c>
      <c r="B123" s="37" t="s">
        <v>344</v>
      </c>
      <c r="C123" s="25">
        <v>105</v>
      </c>
      <c r="D123" s="29" t="s">
        <v>129</v>
      </c>
      <c r="E123" s="23"/>
      <c r="F123" s="24"/>
    </row>
    <row r="124" spans="1:6" ht="12.75">
      <c r="A124" s="25">
        <v>108</v>
      </c>
      <c r="B124" s="37" t="s">
        <v>345</v>
      </c>
      <c r="C124" s="25">
        <v>106</v>
      </c>
      <c r="D124" s="33" t="s">
        <v>130</v>
      </c>
      <c r="E124" s="23"/>
      <c r="F124" s="24"/>
    </row>
    <row r="125" spans="1:6" ht="12.75">
      <c r="A125" s="25">
        <v>109</v>
      </c>
      <c r="B125" s="37" t="s">
        <v>346</v>
      </c>
      <c r="C125" s="25">
        <v>107</v>
      </c>
      <c r="D125" s="33" t="s">
        <v>131</v>
      </c>
      <c r="E125" s="23"/>
      <c r="F125" s="24"/>
    </row>
    <row r="126" spans="1:6" ht="12.75">
      <c r="A126" s="25">
        <v>110</v>
      </c>
      <c r="B126" s="37" t="s">
        <v>347</v>
      </c>
      <c r="C126" s="25">
        <v>108</v>
      </c>
      <c r="D126" s="33" t="s">
        <v>132</v>
      </c>
      <c r="E126" s="23"/>
      <c r="F126" s="24"/>
    </row>
    <row r="127" spans="1:6" ht="12.75">
      <c r="A127" s="25">
        <v>111</v>
      </c>
      <c r="B127" s="37" t="s">
        <v>348</v>
      </c>
      <c r="C127" s="25">
        <v>109</v>
      </c>
      <c r="D127" s="33" t="s">
        <v>133</v>
      </c>
      <c r="E127" s="23"/>
      <c r="F127" s="24"/>
    </row>
    <row r="128" spans="1:6" ht="12.75" customHeight="1">
      <c r="A128" s="25">
        <v>112</v>
      </c>
      <c r="B128" s="37" t="s">
        <v>349</v>
      </c>
      <c r="C128" s="25">
        <v>110</v>
      </c>
      <c r="D128" s="33" t="s">
        <v>134</v>
      </c>
      <c r="E128" s="23"/>
      <c r="F128" s="24"/>
    </row>
    <row r="129" spans="1:6" ht="12.75">
      <c r="A129" s="25">
        <v>113</v>
      </c>
      <c r="B129" s="37" t="s">
        <v>350</v>
      </c>
      <c r="C129" s="25">
        <v>111</v>
      </c>
      <c r="D129" s="33" t="s">
        <v>135</v>
      </c>
      <c r="E129" s="23"/>
      <c r="F129" s="24"/>
    </row>
    <row r="130" spans="1:6" ht="12.75">
      <c r="A130" s="25">
        <v>114</v>
      </c>
      <c r="B130" s="37" t="s">
        <v>351</v>
      </c>
      <c r="C130" s="25">
        <v>112</v>
      </c>
      <c r="D130" s="29" t="s">
        <v>136</v>
      </c>
      <c r="E130" s="23"/>
      <c r="F130" s="24"/>
    </row>
    <row r="131" spans="1:6" ht="12.75">
      <c r="A131" s="25">
        <v>115</v>
      </c>
      <c r="B131" s="37" t="s">
        <v>352</v>
      </c>
      <c r="C131" s="25">
        <v>113</v>
      </c>
      <c r="D131" s="33" t="s">
        <v>137</v>
      </c>
      <c r="E131" s="23"/>
      <c r="F131" s="24"/>
    </row>
    <row r="132" spans="1:6" ht="12.75">
      <c r="A132" s="25">
        <v>116</v>
      </c>
      <c r="B132" s="37" t="s">
        <v>353</v>
      </c>
      <c r="C132" s="25">
        <v>114</v>
      </c>
      <c r="D132" s="33" t="s">
        <v>138</v>
      </c>
      <c r="E132" s="23"/>
      <c r="F132" s="24"/>
    </row>
    <row r="133" spans="1:6" ht="12.75">
      <c r="A133" s="25">
        <v>117</v>
      </c>
      <c r="B133" s="37" t="s">
        <v>354</v>
      </c>
      <c r="C133" s="25">
        <v>115</v>
      </c>
      <c r="D133" s="33" t="s">
        <v>139</v>
      </c>
      <c r="E133" s="23"/>
      <c r="F133" s="24"/>
    </row>
    <row r="134" spans="1:6" ht="12.75">
      <c r="A134" s="25">
        <v>118</v>
      </c>
      <c r="B134" s="32" t="s">
        <v>355</v>
      </c>
      <c r="C134" s="25">
        <v>116</v>
      </c>
      <c r="D134" s="33" t="s">
        <v>140</v>
      </c>
      <c r="E134" s="23"/>
      <c r="F134" s="24"/>
    </row>
    <row r="135" spans="1:6" ht="25.5">
      <c r="A135" s="35"/>
      <c r="B135" s="36"/>
      <c r="C135" s="25">
        <v>117</v>
      </c>
      <c r="D135" s="33" t="s">
        <v>141</v>
      </c>
      <c r="E135" s="23"/>
      <c r="F135" s="24"/>
    </row>
    <row r="136" spans="1:6" ht="12.75">
      <c r="A136" s="35"/>
      <c r="B136" s="38" t="s">
        <v>372</v>
      </c>
      <c r="C136" s="25">
        <v>118</v>
      </c>
      <c r="D136" s="29" t="s">
        <v>159</v>
      </c>
      <c r="E136" s="23"/>
      <c r="F136" s="24"/>
    </row>
    <row r="137" spans="1:6" ht="12.75">
      <c r="A137" s="35"/>
      <c r="B137" s="36"/>
      <c r="C137" s="25">
        <v>119</v>
      </c>
      <c r="D137" s="29" t="s">
        <v>160</v>
      </c>
      <c r="E137" s="23"/>
      <c r="F137" s="24"/>
    </row>
    <row r="138" spans="1:6" ht="12.75">
      <c r="A138" s="25">
        <v>119</v>
      </c>
      <c r="B138" s="36" t="s">
        <v>373</v>
      </c>
      <c r="C138" s="25">
        <v>120</v>
      </c>
      <c r="D138" s="29" t="s">
        <v>161</v>
      </c>
      <c r="E138" s="23"/>
      <c r="F138" s="24"/>
    </row>
    <row r="139" spans="1:6" ht="12.75">
      <c r="A139" s="25">
        <v>120</v>
      </c>
      <c r="B139" s="30" t="s">
        <v>263</v>
      </c>
      <c r="C139" s="25">
        <v>121</v>
      </c>
      <c r="D139" s="29" t="s">
        <v>162</v>
      </c>
      <c r="E139" s="23"/>
      <c r="F139" s="24"/>
    </row>
    <row r="140" spans="1:6" ht="12.75">
      <c r="A140" s="25">
        <v>121</v>
      </c>
      <c r="B140" s="30" t="s">
        <v>264</v>
      </c>
      <c r="C140" s="25">
        <v>122</v>
      </c>
      <c r="D140" s="29" t="s">
        <v>175</v>
      </c>
      <c r="E140" s="23"/>
      <c r="F140" s="24"/>
    </row>
    <row r="141" spans="1:6" ht="12.75">
      <c r="A141" s="25">
        <v>122</v>
      </c>
      <c r="B141" s="30" t="s">
        <v>265</v>
      </c>
      <c r="C141" s="25">
        <v>123</v>
      </c>
      <c r="D141" s="29" t="s">
        <v>176</v>
      </c>
      <c r="E141" s="23"/>
      <c r="F141" s="24"/>
    </row>
    <row r="142" spans="1:6" ht="12.75">
      <c r="A142" s="25">
        <v>123</v>
      </c>
      <c r="B142" s="32" t="s">
        <v>266</v>
      </c>
      <c r="C142" s="25">
        <v>124</v>
      </c>
      <c r="D142" s="29" t="s">
        <v>177</v>
      </c>
      <c r="E142" s="23"/>
      <c r="F142" s="24"/>
    </row>
    <row r="143" spans="1:6" ht="12.75">
      <c r="A143" s="25">
        <v>124</v>
      </c>
      <c r="B143" s="32" t="s">
        <v>267</v>
      </c>
      <c r="C143" s="25">
        <v>125</v>
      </c>
      <c r="D143" s="29" t="s">
        <v>178</v>
      </c>
      <c r="E143" s="23"/>
      <c r="F143" s="24"/>
    </row>
    <row r="144" spans="1:6" ht="12.75">
      <c r="A144" s="25">
        <v>125</v>
      </c>
      <c r="B144" s="32" t="s">
        <v>268</v>
      </c>
      <c r="C144" s="25">
        <v>126</v>
      </c>
      <c r="D144" s="29" t="s">
        <v>179</v>
      </c>
      <c r="E144" s="23"/>
      <c r="F144" s="24"/>
    </row>
    <row r="145" spans="1:6" ht="12.75">
      <c r="A145" s="25">
        <v>126</v>
      </c>
      <c r="B145" s="32" t="s">
        <v>269</v>
      </c>
      <c r="C145" s="25">
        <v>127</v>
      </c>
      <c r="D145" s="29" t="s">
        <v>180</v>
      </c>
      <c r="E145" s="23"/>
      <c r="F145" s="24"/>
    </row>
    <row r="146" spans="1:6" ht="12.75">
      <c r="A146" s="25">
        <v>127</v>
      </c>
      <c r="B146" s="32" t="s">
        <v>270</v>
      </c>
      <c r="C146" s="25">
        <v>128</v>
      </c>
      <c r="D146" s="29" t="s">
        <v>181</v>
      </c>
      <c r="E146" s="23"/>
      <c r="F146" s="24"/>
    </row>
    <row r="147" spans="1:6" ht="12.75">
      <c r="A147" s="25">
        <v>128</v>
      </c>
      <c r="B147" s="32" t="s">
        <v>271</v>
      </c>
      <c r="C147" s="25">
        <v>129</v>
      </c>
      <c r="D147" s="29" t="s">
        <v>182</v>
      </c>
      <c r="E147" s="23"/>
      <c r="F147" s="24"/>
    </row>
    <row r="148" spans="1:6" ht="12.75">
      <c r="A148" s="25">
        <v>129</v>
      </c>
      <c r="B148" s="32" t="s">
        <v>272</v>
      </c>
      <c r="C148" s="25">
        <v>130</v>
      </c>
      <c r="D148" s="29" t="s">
        <v>183</v>
      </c>
      <c r="E148" s="23"/>
      <c r="F148" s="24"/>
    </row>
    <row r="149" spans="1:6" ht="12.75">
      <c r="A149" s="25">
        <v>130</v>
      </c>
      <c r="B149" s="30" t="s">
        <v>273</v>
      </c>
      <c r="C149" s="25">
        <v>131</v>
      </c>
      <c r="D149" s="29" t="s">
        <v>184</v>
      </c>
      <c r="E149" s="23"/>
      <c r="F149" s="24"/>
    </row>
    <row r="150" spans="1:6" ht="12.75">
      <c r="A150" s="25">
        <v>131</v>
      </c>
      <c r="B150" s="30" t="s">
        <v>274</v>
      </c>
      <c r="C150" s="25">
        <v>132</v>
      </c>
      <c r="D150" s="29" t="s">
        <v>185</v>
      </c>
      <c r="E150" s="23"/>
      <c r="F150" s="24"/>
    </row>
    <row r="151" spans="1:6" ht="12.75">
      <c r="A151" s="25">
        <v>132</v>
      </c>
      <c r="B151" s="30" t="s">
        <v>275</v>
      </c>
      <c r="C151" s="25">
        <v>133</v>
      </c>
      <c r="D151" s="29" t="s">
        <v>186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143</v>
      </c>
      <c r="E153" s="23"/>
      <c r="F153" s="24"/>
    </row>
    <row r="154" spans="1:6" ht="25.5">
      <c r="A154" s="35"/>
      <c r="C154" s="25">
        <v>135</v>
      </c>
      <c r="D154" s="33" t="s">
        <v>144</v>
      </c>
      <c r="E154" s="23"/>
      <c r="F154" s="24"/>
    </row>
    <row r="155" spans="1:6" ht="12.75">
      <c r="A155" s="35"/>
      <c r="B155" s="36"/>
      <c r="C155" s="25">
        <v>136</v>
      </c>
      <c r="D155" s="33" t="s">
        <v>146</v>
      </c>
      <c r="E155" s="23"/>
      <c r="F155" s="24"/>
    </row>
    <row r="156" spans="1:6" ht="12.75">
      <c r="A156" s="35"/>
      <c r="B156" s="36"/>
      <c r="C156" s="25">
        <v>137</v>
      </c>
      <c r="D156" s="33" t="s">
        <v>145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332</v>
      </c>
      <c r="E158" s="23"/>
      <c r="F158" s="24"/>
    </row>
    <row r="159" spans="1:6" ht="12.75">
      <c r="A159" s="35"/>
      <c r="B159" s="36"/>
      <c r="C159" s="25">
        <v>140</v>
      </c>
      <c r="D159" s="33" t="s">
        <v>333</v>
      </c>
      <c r="E159" s="23"/>
      <c r="F159" s="24"/>
    </row>
    <row r="160" spans="1:6" ht="12.75">
      <c r="A160" s="35"/>
      <c r="B160" s="36"/>
      <c r="C160" s="25">
        <v>141</v>
      </c>
      <c r="D160" s="33" t="s">
        <v>334</v>
      </c>
      <c r="E160" s="23"/>
      <c r="F160" s="24"/>
    </row>
    <row r="161" spans="1:6" ht="12.75">
      <c r="A161" s="35"/>
      <c r="B161" s="36"/>
      <c r="C161" s="25">
        <v>142</v>
      </c>
      <c r="D161" s="33" t="s">
        <v>335</v>
      </c>
      <c r="E161" s="23"/>
      <c r="F161" s="24"/>
    </row>
    <row r="162" spans="1:6" ht="12.75">
      <c r="A162" s="35"/>
      <c r="B162" s="36"/>
      <c r="C162" s="25">
        <v>143</v>
      </c>
      <c r="D162" s="33" t="s">
        <v>336</v>
      </c>
      <c r="E162" s="23"/>
      <c r="F162" s="24"/>
    </row>
    <row r="163" spans="1:6" ht="12.75">
      <c r="A163" s="35"/>
      <c r="B163" s="36"/>
      <c r="C163" s="25">
        <v>144</v>
      </c>
      <c r="D163" s="33" t="s">
        <v>337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2015-11-11T09:01:49Z</cp:lastPrinted>
  <dcterms:created xsi:type="dcterms:W3CDTF">2003-01-28T12:33:10Z</dcterms:created>
  <dcterms:modified xsi:type="dcterms:W3CDTF">2015-11-20T05:31:29Z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