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ЛОТ №1\Фрунзе 120 сметы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'Лок.См.Расч.Баз.-Инд.Методом'!$A$1:$N$228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3" i="5" l="1"/>
  <c r="AI203" i="5"/>
  <c r="L204" i="5"/>
  <c r="AI204" i="5"/>
  <c r="L205" i="5"/>
  <c r="AI205" i="5"/>
  <c r="L180" i="5"/>
  <c r="AI180" i="5"/>
  <c r="L181" i="5"/>
  <c r="AI181" i="5"/>
  <c r="L182" i="5"/>
  <c r="AI182" i="5"/>
  <c r="L183" i="5"/>
  <c r="AI183" i="5"/>
  <c r="L184" i="5"/>
  <c r="AI184" i="5"/>
  <c r="L185" i="5"/>
  <c r="AI185" i="5"/>
  <c r="L186" i="5"/>
  <c r="AI186" i="5"/>
  <c r="L187" i="5"/>
  <c r="AI187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94" i="5"/>
  <c r="AI194" i="5"/>
  <c r="L195" i="5"/>
  <c r="AI195" i="5"/>
  <c r="L196" i="5"/>
  <c r="AI196" i="5"/>
  <c r="L158" i="5"/>
  <c r="AI158" i="5"/>
  <c r="L159" i="5"/>
  <c r="AI159" i="5"/>
  <c r="L160" i="5"/>
  <c r="AI160" i="5"/>
  <c r="L161" i="5"/>
  <c r="AI161" i="5"/>
  <c r="L162" i="5"/>
  <c r="AI162" i="5"/>
  <c r="L163" i="5"/>
  <c r="AI163" i="5"/>
  <c r="L164" i="5"/>
  <c r="AI164" i="5"/>
  <c r="L165" i="5"/>
  <c r="AI165" i="5"/>
  <c r="L166" i="5"/>
  <c r="AI166" i="5"/>
  <c r="L167" i="5"/>
  <c r="AI167" i="5"/>
  <c r="L168" i="5"/>
  <c r="AI168" i="5"/>
  <c r="L169" i="5"/>
  <c r="AI169" i="5"/>
  <c r="L170" i="5"/>
  <c r="AI170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5" i="5"/>
  <c r="AI145" i="5"/>
  <c r="L146" i="5"/>
  <c r="AI146" i="5"/>
  <c r="L147" i="5"/>
  <c r="AI147" i="5"/>
  <c r="L148" i="5"/>
  <c r="AI148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123" i="5"/>
  <c r="AI123" i="5"/>
  <c r="L124" i="5"/>
  <c r="AI124" i="5"/>
  <c r="L125" i="5"/>
  <c r="AI125" i="5"/>
  <c r="L126" i="5"/>
  <c r="AI126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66" i="5"/>
  <c r="AI66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188" i="5"/>
  <c r="C146" i="5"/>
  <c r="C105" i="5"/>
  <c r="C41" i="5"/>
  <c r="C203" i="5"/>
  <c r="C94" i="5"/>
  <c r="C28" i="5"/>
  <c r="C88" i="5"/>
  <c r="C64" i="5"/>
  <c r="C98" i="5"/>
  <c r="C24" i="5"/>
  <c r="C84" i="5"/>
  <c r="C60" i="5"/>
  <c r="C159" i="5"/>
  <c r="C148" i="5"/>
  <c r="C115" i="5"/>
  <c r="C59" i="5"/>
  <c r="C184" i="5"/>
  <c r="C161" i="5"/>
  <c r="C142" i="5"/>
  <c r="C85" i="5"/>
  <c r="C101" i="5"/>
  <c r="C117" i="5"/>
  <c r="C45" i="5"/>
  <c r="C61" i="5"/>
  <c r="C31" i="5"/>
  <c r="C162" i="5"/>
  <c r="C86" i="5"/>
  <c r="C122" i="5"/>
  <c r="C66" i="5"/>
  <c r="C195" i="5"/>
  <c r="C80" i="5"/>
  <c r="C112" i="5"/>
  <c r="C56" i="5"/>
  <c r="C189" i="5"/>
  <c r="C143" i="5"/>
  <c r="C106" i="5"/>
  <c r="C46" i="5"/>
  <c r="C32" i="5"/>
  <c r="C168" i="5"/>
  <c r="C92" i="5"/>
  <c r="C124" i="5"/>
  <c r="C21" i="5"/>
  <c r="C186" i="5"/>
  <c r="C163" i="5"/>
  <c r="C144" i="5"/>
  <c r="C87" i="5"/>
  <c r="C103" i="5"/>
  <c r="C119" i="5"/>
  <c r="C47" i="5"/>
  <c r="C63" i="5"/>
  <c r="C180" i="5"/>
  <c r="C138" i="5"/>
  <c r="C97" i="5"/>
  <c r="C49" i="5"/>
  <c r="C27" i="5"/>
  <c r="C82" i="5"/>
  <c r="C58" i="5"/>
  <c r="C145" i="5"/>
  <c r="C48" i="5"/>
  <c r="C139" i="5"/>
  <c r="C114" i="5"/>
  <c r="C183" i="5"/>
  <c r="C100" i="5"/>
  <c r="C30" i="5"/>
  <c r="C140" i="5"/>
  <c r="C91" i="5"/>
  <c r="C123" i="5"/>
  <c r="C22" i="5"/>
  <c r="C165" i="5"/>
  <c r="C89" i="5"/>
  <c r="C121" i="5"/>
  <c r="C65" i="5"/>
  <c r="C170" i="5"/>
  <c r="C42" i="5"/>
  <c r="C164" i="5"/>
  <c r="C120" i="5"/>
  <c r="C158" i="5"/>
  <c r="C126" i="5"/>
  <c r="C160" i="5"/>
  <c r="C116" i="5"/>
  <c r="C182" i="5"/>
  <c r="C167" i="5"/>
  <c r="C99" i="5"/>
  <c r="C43" i="5"/>
  <c r="C29" i="5"/>
  <c r="C192" i="5"/>
  <c r="C169" i="5"/>
  <c r="C77" i="5"/>
  <c r="C93" i="5"/>
  <c r="C109" i="5"/>
  <c r="C125" i="5"/>
  <c r="C53" i="5"/>
  <c r="C23" i="5"/>
  <c r="C185" i="5"/>
  <c r="C147" i="5"/>
  <c r="C102" i="5"/>
  <c r="C50" i="5"/>
  <c r="C205" i="5"/>
  <c r="C137" i="5"/>
  <c r="C96" i="5"/>
  <c r="C40" i="5"/>
  <c r="C26" i="5"/>
  <c r="C166" i="5"/>
  <c r="C90" i="5"/>
  <c r="C118" i="5"/>
  <c r="C62" i="5"/>
  <c r="C191" i="5"/>
  <c r="C76" i="5"/>
  <c r="C108" i="5"/>
  <c r="C52" i="5"/>
  <c r="C204" i="5"/>
  <c r="C194" i="5"/>
  <c r="C136" i="5"/>
  <c r="C79" i="5"/>
  <c r="C95" i="5"/>
  <c r="C111" i="5"/>
  <c r="C39" i="5"/>
  <c r="C55" i="5"/>
  <c r="C25" i="5"/>
  <c r="C196" i="5"/>
  <c r="C81" i="5"/>
  <c r="C113" i="5"/>
  <c r="C57" i="5"/>
  <c r="C193" i="5"/>
  <c r="C110" i="5"/>
  <c r="C187" i="5"/>
  <c r="C104" i="5"/>
  <c r="C181" i="5"/>
  <c r="C78" i="5"/>
  <c r="C54" i="5"/>
  <c r="C141" i="5"/>
  <c r="C44" i="5"/>
  <c r="C190" i="5"/>
  <c r="C83" i="5"/>
  <c r="C107" i="5"/>
  <c r="C51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<sst xmlns="http://schemas.openxmlformats.org/spreadsheetml/2006/main" count="1048" uniqueCount="669">
  <si>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</si>
  <si>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</si>
  <si>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</si>
  <si>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</si>
  <si>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</si>
  <si>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</si>
  <si>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</si>
  <si>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</si>
  <si>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</si>
  <si>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</si>
  <si>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</si>
  <si>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</si>
  <si>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</si>
  <si>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</si>
  <si>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</si>
  <si>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</si>
  <si>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</si>
  <si>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</si>
  <si>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</si>
  <si>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</si>
  <si>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</si>
  <si>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</si>
  <si>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</si>
  <si>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t xml:space="preserve">
ИНН/КПП /</t>
  </si>
  <si>
    <t>ЛОКАЛЬНЫЙ СМЕТНЫЙ РАСЧЕТ №  02-01-01</t>
  </si>
  <si>
    <t>Проверил:____________________________</t>
  </si>
  <si>
    <t>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</si>
  <si>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</si>
  <si>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</si>
  <si>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</si>
  <si>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</si>
  <si>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</si>
  <si>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 1050*0,014=14,7 т</t>
  </si>
  <si>
    <t>100 м2 покрытия</t>
  </si>
  <si>
    <t>ФЕР46-04-008-02</t>
  </si>
  <si>
    <t>79,44
66,92</t>
  </si>
  <si>
    <t>Разборка покрытий кровель: из листовой стали 192*0,006=1,152 т</t>
  </si>
  <si>
    <t>ФЕРр58-3-1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</si>
  <si>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</si>
  <si>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</si>
  <si>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</si>
  <si>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</si>
  <si>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</si>
  <si>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</si>
  <si>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</si>
  <si>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</si>
  <si>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ОЗП=16,9; ЭМ=4,65; ЗПМ=16,9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</si>
  <si>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</si>
  <si>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</si>
  <si>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</si>
  <si>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</si>
  <si>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</si>
  <si>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</si>
  <si>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5260
1149</t>
  </si>
  <si>
    <t>15,16
0,46</t>
  </si>
  <si>
    <t>165,4
5,02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</si>
  <si>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</si>
  <si>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</si>
  <si>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</si>
  <si>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</si>
  <si>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</si>
  <si>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3309
727</t>
  </si>
  <si>
    <t>22,68
0,29</t>
  </si>
  <si>
    <t>247,44
3,16</t>
  </si>
  <si>
    <t>Разборка деревянных элементов конструкций крыш: стропил со стойками и подкосами из досок</t>
  </si>
  <si>
    <t>ФЕРр58-1-4</t>
  </si>
  <si>
    <t>76,77
53,44</t>
  </si>
  <si>
    <t>23,33
3,65</t>
  </si>
  <si>
    <t>3091
676</t>
  </si>
  <si>
    <t>6,73
0,27</t>
  </si>
  <si>
    <t>73,42
2,95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</si>
  <si>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</si>
  <si>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</si>
  <si>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</si>
  <si>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</si>
  <si>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ОЗП=16,9; ЭМ=10,11; ЗПМ=16,9; МАТ=7,51</t>
  </si>
  <si>
    <t>627
68</t>
  </si>
  <si>
    <t>4,669
0,203</t>
  </si>
  <si>
    <t>7,41
0,32</t>
  </si>
  <si>
    <t>НР 92%=120%*(0,85*0,9) от ФОТ</t>
  </si>
  <si>
    <t>СП 44%=65%*(0,8*0,85) от ФОТ</t>
  </si>
  <si>
    <t>(Демонтаж (разборка) металлических конструкций ОЗП=0,7; ЭМ=0,7 к расх.; ЗПМ=0,7; МАТ=0 к расх.; ТЗ=0,7; ТЗМ=0,7)</t>
  </si>
  <si>
    <t>Демонтаж ограждения кровель перилами 158,7/2,5*0,020635=1,3т</t>
  </si>
  <si>
    <t>100 м ограждения</t>
  </si>
  <si>
    <t>ФЕР10-01-039-05
ОЗП=0,8
ЭМ=0,8
ЗПМ=0,8
МАТ=0
ТЗ=0,8
ТЗМ=0,8</t>
  </si>
  <si>
    <t>1627,62
823,46</t>
  </si>
  <si>
    <t>804,16
104,66</t>
  </si>
  <si>
    <t>10.95. Установка люков в перекрытиях: ОЗП=16,9; ЭМ=12,02; ЗПМ=16,9; МАТ=8,18</t>
  </si>
  <si>
    <t>144
34</t>
  </si>
  <si>
    <t>97,336
7,752</t>
  </si>
  <si>
    <t>1,4
0,11</t>
  </si>
  <si>
    <t>НР 90%=118%*(0,85*0,9) от ФОТ</t>
  </si>
  <si>
    <t>СП 43%=63%*(0,8*0,85) от ФОТ</t>
  </si>
  <si>
    <t>(Демонтаж (разборка) сборных деревянных конструкций ОЗП=0,8; ЭМ=0,8 к расх.; ЗПМ=0,8; МАТ=0 к расх.; ТЗ=0,8; ТЗМ=0,8)</t>
  </si>
  <si>
    <t>Демонтаж люков в перекрытиях, площадь проема до 2 м2 0,071*2=0,142 т</t>
  </si>
  <si>
    <t>100 м2 проемов</t>
  </si>
  <si>
    <t>ФЕР08-02-001-09
ОЗП=0,8
ЭМ=0,8
ЗПМ=0,8
МАТ=0
ТЗ=0,8
ТЗМ=0,8</t>
  </si>
  <si>
    <t>71,94
47,06</t>
  </si>
  <si>
    <t>24,88
3,89</t>
  </si>
  <si>
    <t>8.14. Кладка стен из кирпича: ОЗП=16,9; ЭМ=12,12; ЗПМ=16,9; МАТ=4,7</t>
  </si>
  <si>
    <t>2376
524</t>
  </si>
  <si>
    <t>5,664
0,288</t>
  </si>
  <si>
    <t>44,52
2,26</t>
  </si>
  <si>
    <t>НР 93%=122%*(0,85*0,9) от ФОТ</t>
  </si>
  <si>
    <t>СП 54%=80%*(0,8*0,85) от ФОТ</t>
  </si>
  <si>
    <t>(Демонтаж (разборка) сборных бетонных и железобетонных конструкций ОЗП=0,8; ЭМ=0,8 к расх.; ЗПМ=0,8; МАТ=0 к расх.; ТЗ=0,8; ТЗМ=0,8)</t>
  </si>
  <si>
    <t>Разборка стен приямков и каналов 7,86*1,8=14,15 т</t>
  </si>
  <si>
    <t>1 м3 кладки</t>
  </si>
  <si>
    <t>ФЕРр69-9-1</t>
  </si>
  <si>
    <t>1553,82
1553,82</t>
  </si>
  <si>
    <t>94.16 Очистка помещений от строительного мусора: ОЗП=16,9</t>
  </si>
  <si>
    <t>НР 66%=78%*0,85 от ФОТ</t>
  </si>
  <si>
    <t>СП 40%=50%*0,8 от ФОТ</t>
  </si>
  <si>
    <t>Очистка помещений от строительного мусора 156,9*0,6=94,14 т</t>
  </si>
  <si>
    <t>100 т мусора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</si>
  <si>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</si>
  <si>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</si>
  <si>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</si>
  <si>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</si>
  <si>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</si>
  <si>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23,94
0,01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</si>
  <si>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</si>
  <si>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</si>
  <si>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</si>
  <si>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</si>
  <si>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1578
188</t>
  </si>
  <si>
    <t>957,63
13,83</t>
  </si>
  <si>
    <t>Итого прямые затраты по разделу с учетом индексов, в текущих ценах</t>
  </si>
  <si>
    <t>15842
3178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</si>
  <si>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</si>
  <si>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</si>
  <si>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</si>
  <si>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</si>
  <si>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ФЕР08-02-003-03</t>
  </si>
  <si>
    <t>933,48
74,54</t>
  </si>
  <si>
    <t>36,29
5,67</t>
  </si>
  <si>
    <t>8.17. Кладка из кирпича конструкций: ОЗП=16,9; ЭМ=12,09; ЗПМ=16,9; МАТ=4,68</t>
  </si>
  <si>
    <t>3736
828</t>
  </si>
  <si>
    <t>7,93
0,42</t>
  </si>
  <si>
    <t>54,08
2,86</t>
  </si>
  <si>
    <t>Кладка из кирпича: столбов прямоугольных неармированных при высоте этажа до 4 м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</si>
  <si>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</si>
  <si>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</si>
  <si>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</si>
  <si>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</si>
  <si>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</si>
  <si>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</si>
  <si>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</si>
  <si>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</si>
  <si>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</si>
  <si>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МАТ=5,56</t>
  </si>
  <si>
    <t>Изоспан: Двухслойная паропроницаемая мембрана марки В 14,62/5,56=2,63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</si>
  <si>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</si>
  <si>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</si>
  <si>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</si>
  <si>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</si>
  <si>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11877
1234</t>
  </si>
  <si>
    <t>45,54
0,55</t>
  </si>
  <si>
    <t>357,26
4,31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</si>
  <si>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</si>
  <si>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</si>
  <si>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</si>
  <si>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</si>
  <si>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</si>
  <si>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</si>
  <si>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</si>
  <si>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</si>
  <si>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</si>
  <si>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</si>
  <si>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</si>
  <si>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</si>
  <si>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</si>
  <si>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</si>
  <si>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</si>
  <si>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</si>
  <si>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</si>
  <si>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</si>
  <si>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</si>
  <si>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</si>
  <si>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</si>
  <si>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</si>
  <si>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ПЗ=4
ОЗП=4
ЭМ=4
ЗПМ=4
МАТ=4
ТЗ=4
ТЗМ=4</t>
  </si>
  <si>
    <t>17674,64
1341,28</t>
  </si>
  <si>
    <t>506,2
29,72</t>
  </si>
  <si>
    <t>45421
4918</t>
  </si>
  <si>
    <t>141,04
2,2</t>
  </si>
  <si>
    <t>1106,46
17,26</t>
  </si>
  <si>
    <t>(Всего толщ. 250 мм ПЗ=4 (ОЗП=4; ЭМ=4 к расх.; ЗПМ=4; МАТ=4 к расх.; ТЗ=4; ТЗМ=4))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</si>
  <si>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</si>
  <si>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</si>
  <si>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</si>
  <si>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</si>
  <si>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4575
490</t>
  </si>
  <si>
    <t>70,52
1,1</t>
  </si>
  <si>
    <t>111,42
1,74</t>
  </si>
  <si>
    <t>(В 2 слоя ПЗ=2 (ОЗП=2; ЭМ=2 к расх.; ЗПМ=2; МАТ=2 к расх.; ТЗ=2; ТЗМ=2))</t>
  </si>
  <si>
    <t>ФССЦ-104-9100-91004</t>
  </si>
  <si>
    <t>Плиты теплоизоляционные энергетические гидрофобизированные базальтовые: ПТЭ-125 , размером 2000х1000х50 мм 4146,89/5,56=745,84</t>
  </si>
  <si>
    <t>ФССЦ-104-9221-90001</t>
  </si>
  <si>
    <t>Изоспан: Защитный материал марки А 20,40/5,56=3,67</t>
  </si>
  <si>
    <t>ФЕР10-01-023-01</t>
  </si>
  <si>
    <t>1051,44
31,84</t>
  </si>
  <si>
    <t>12,45
1,08</t>
  </si>
  <si>
    <t>10.54. Укладка ходовых досок: ОЗП=16,9; ЭМ=11,15; ЗПМ=16,9; МАТ=5,35</t>
  </si>
  <si>
    <t>201
17</t>
  </si>
  <si>
    <t>3,8
0,08</t>
  </si>
  <si>
    <t>4,29
0,09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</si>
  <si>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</si>
  <si>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</si>
  <si>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</si>
  <si>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</si>
  <si>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</si>
  <si>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</si>
  <si>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</si>
  <si>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</si>
  <si>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</si>
  <si>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</si>
  <si>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ОЗП=16,9; ЭМ=11,46; ЗПМ=16,9; МАТ=3,37</t>
  </si>
  <si>
    <t>Установка элементов каркаса: из брусьев</t>
  </si>
  <si>
    <t>1 м3 древесины в конструкции</t>
  </si>
  <si>
    <t>ФЕР09-04-013-01</t>
  </si>
  <si>
    <t>91,99
21,13</t>
  </si>
  <si>
    <t>9.67 Установка противопожарных дверей: ОЗП=16,9; ЭМ=6,53; ЗПМ=16,9; МАТ=4,87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</si>
  <si>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</si>
  <si>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</si>
  <si>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</si>
  <si>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</si>
  <si>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ФССЦ-301-0271-00023</t>
  </si>
  <si>
    <t>Люки противопожарные: ЛПМ 01/60, 800х900 мм 8654,13/5,56=1556,50</t>
  </si>
  <si>
    <t>шт.</t>
  </si>
  <si>
    <t>3096
354</t>
  </si>
  <si>
    <t>1713,27
26,26</t>
  </si>
  <si>
    <t>Итого прямые затраты по разделу с учетом коэффициентов к итогам</t>
  </si>
  <si>
    <t>3850
443</t>
  </si>
  <si>
    <t>1959,08
32,83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</si>
  <si>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</si>
  <si>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13, 17, 23, 27, 18, 24, 28, 35, 38-39)</t>
  </si>
  <si>
    <t>753
89</t>
  </si>
  <si>
    <t>245,811
6,565</t>
  </si>
  <si>
    <t>48764
7487</t>
  </si>
  <si>
    <t>Итого по разделу 2 Чердак</t>
  </si>
  <si>
    <t>Раздел 3. Кровля</t>
  </si>
  <si>
    <t>ФЕР10-01-002-01</t>
  </si>
  <si>
    <t>2300,67
200,19</t>
  </si>
  <si>
    <t>38,22
2,03</t>
  </si>
  <si>
    <t>10.4. Установка стропил: ОЗП=16,9; ЭМ=11,09; ЗПМ=16,9; МАТ=3,71</t>
  </si>
  <si>
    <t>23444
1910</t>
  </si>
  <si>
    <t>24,09
0,15</t>
  </si>
  <si>
    <t>1066,08
6,64</t>
  </si>
  <si>
    <t>Установка стропил</t>
  </si>
  <si>
    <t>ФЕРр58-12-1</t>
  </si>
  <si>
    <t>5,243
6,403-1,16</t>
  </si>
  <si>
    <t>2492,19
252,73</t>
  </si>
  <si>
    <t>40,78
5,94</t>
  </si>
  <si>
    <t>84.30 Устройство обрешетки сплошной из досок: ОЗП=16,9; ЭМ=10,32; ЗПМ=16,9; МАТ=5,51</t>
  </si>
  <si>
    <t>2208
524</t>
  </si>
  <si>
    <t>31,83
0,44</t>
  </si>
  <si>
    <t>166,88
2,31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</si>
  <si>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</si>
  <si>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</si>
  <si>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</si>
  <si>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</si>
  <si>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</si>
  <si>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</si>
  <si>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</si>
  <si>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</si>
  <si>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</si>
  <si>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1218
321</t>
  </si>
  <si>
    <t>21,35
0,32</t>
  </si>
  <si>
    <t>96,22
1,44</t>
  </si>
  <si>
    <t>Устройство обрешетки с прозорами из досок и брусков под кровлю: из листовой стали</t>
  </si>
  <si>
    <t>ФССЦ-104-9221-90004</t>
  </si>
  <si>
    <t>Изоспан: Защитный материал марки D 19,49/5,56=3,51</t>
  </si>
  <si>
    <t>ФЕР10-01-003-01</t>
  </si>
  <si>
    <t>378,81
56,55</t>
  </si>
  <si>
    <t>22,06
1,49</t>
  </si>
  <si>
    <t>10.5. Устройство слуховых окон: ОЗП=16,9; ЭМ=11,27; ЗПМ=16,9; МАТ=5,43</t>
  </si>
  <si>
    <t>1240
135</t>
  </si>
  <si>
    <t>6,63
0,11</t>
  </si>
  <si>
    <t>26,52
0,44</t>
  </si>
  <si>
    <t>Устройство слуховых окон</t>
  </si>
  <si>
    <t>1 слуховое окно</t>
  </si>
  <si>
    <t>ФССЦ-203-0251</t>
  </si>
  <si>
    <t>Створки оконные для жилых зданий площадь: 0,3-0,4 м2; МАТ=7,753</t>
  </si>
  <si>
    <t>Створки оконные для жилых зданий площадь: 0,3-0,4 м2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</si>
  <si>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</si>
  <si>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</si>
  <si>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</si>
  <si>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</si>
  <si>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</si>
  <si>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</si>
  <si>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</si>
  <si>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ФССЦ-203-0177</t>
  </si>
  <si>
    <t>Окна неоткрывающиеся (глухие) одинарной конструкции: с жалюзийной решеткой СГО 6-12Ж, площадь 0,65 м2</t>
  </si>
  <si>
    <t>ФЕР10-01-022-06</t>
  </si>
  <si>
    <t>0,212
0,053*4</t>
  </si>
  <si>
    <t>4956,55
203,43</t>
  </si>
  <si>
    <t>10.52. Подшивка потолков: сталью кровельной оцинкованной по дереву: ОЗП=16,9; ЭМ=11,82; ЗПМ=16,9; МАТ=3,76</t>
  </si>
  <si>
    <t>Подшивка потолков: сталью кровельной оцинкованной по дереву</t>
  </si>
  <si>
    <t>100 м2 потолка</t>
  </si>
  <si>
    <t>ФЕР26-02-018-02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</si>
  <si>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</si>
  <si>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</si>
  <si>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ОЗП=16,9; ЭМ=11,38; ЗПМ=16,9; МАТ=19,16</t>
  </si>
  <si>
    <t>40183
845</t>
  </si>
  <si>
    <t>8,87
0,09</t>
  </si>
  <si>
    <t>338,28
3,43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</si>
  <si>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</si>
  <si>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</si>
  <si>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</si>
  <si>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</si>
  <si>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МАТ=10,698</t>
  </si>
  <si>
    <t>Антисептик-антипирен «ПИРИЛАКС-ТЕРМА» для древесины</t>
  </si>
  <si>
    <t>кг</t>
  </si>
  <si>
    <t>ФЕР12-01-023-01</t>
  </si>
  <si>
    <t>9597,58
332,9</t>
  </si>
  <si>
    <t>115,24
10,67</t>
  </si>
  <si>
    <t>12.51. Устройство кровли из металлочерепицы (с отделочным покрытием): ОЗП=16,9; ЭМ=11,31; ЗПМ=16,9; МАТ=3,48</t>
  </si>
  <si>
    <t>17112
2366</t>
  </si>
  <si>
    <t>38,53
0,79</t>
  </si>
  <si>
    <t>404,57
8,3</t>
  </si>
  <si>
    <t>Устройство кровли из металлочерепицы по готовым прогонам: простая кровля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</si>
  <si>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</si>
  <si>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</si>
  <si>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</si>
  <si>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</si>
  <si>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9,5865
1050*8,3*1,1/1000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</si>
  <si>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</si>
  <si>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</si>
  <si>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ФССЦ-101-3741</t>
  </si>
  <si>
    <t>0,915
0,895+0,02</t>
  </si>
  <si>
    <t>Сталь листовая оцинкованная толщиной листа: 0,55 мм; МАТ=3,993</t>
  </si>
  <si>
    <t>Сталь листовая оцинкованная толщиной листа: 0,55 мм</t>
  </si>
  <si>
    <t>ФССЦ-101-3741
конек</t>
  </si>
  <si>
    <t>ФЕР09-05-006-01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</si>
  <si>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</si>
  <si>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</si>
  <si>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</si>
  <si>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</si>
  <si>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ФЕР12-01-009-01</t>
  </si>
  <si>
    <t>18952,69
722,92</t>
  </si>
  <si>
    <t>296,15
28,49</t>
  </si>
  <si>
    <t>12.26. Устройство желобов: ОЗП=16,9; ЭМ=11,67; ЗПМ=16,9; МАТ=3,93</t>
  </si>
  <si>
    <t>7189
997</t>
  </si>
  <si>
    <t>84,75
2,11</t>
  </si>
  <si>
    <t>140,96
3,51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</si>
  <si>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</si>
  <si>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</si>
  <si>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</si>
  <si>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МАТ=5,581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</si>
  <si>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</si>
  <si>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</si>
  <si>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МАТ=3,474</t>
  </si>
  <si>
    <t>Сталь листовая оцинкованная толщиной листа: 0,7 мм</t>
  </si>
  <si>
    <t>ФЕР12-01-012-01</t>
  </si>
  <si>
    <t>3147,39
59,1</t>
  </si>
  <si>
    <t>55,38
3,92</t>
  </si>
  <si>
    <t>1051
135</t>
  </si>
  <si>
    <t>6,67
0,29</t>
  </si>
  <si>
    <t>9,97
0,43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</si>
  <si>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</si>
  <si>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</si>
  <si>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</si>
  <si>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</si>
  <si>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ФЕР15-04-030-04</t>
  </si>
  <si>
    <t>1107,48
629,59</t>
  </si>
  <si>
    <t>2,93
0,14</t>
  </si>
  <si>
    <t>15.193 Масляная окраска металлических поверхностей: решеток, переплетов, труб диаметром менее 50 мм и т.п., количество окрасок 2: ОЗП=16,9; ЭМ=11,34; ЗПМ=16,9; МАТ=2,95</t>
  </si>
  <si>
    <t>71,06
0,01</t>
  </si>
  <si>
    <t>НР 80%=105%*(0,85*0,9) от ФОТ</t>
  </si>
  <si>
    <t>СП 37%=55%*(0,8*0,85) от ФОТ</t>
  </si>
  <si>
    <t>Масляная окраска металлических поверхностей: решеток, переплетов, труб диаметром менее 50 мм и т.п., количество окрасок 2</t>
  </si>
  <si>
    <t>100 м2 окрашиваемой поверхности</t>
  </si>
  <si>
    <t>1011
135</t>
  </si>
  <si>
    <t>9,6
0,42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</si>
  <si>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</si>
  <si>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</si>
  <si>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</si>
  <si>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</si>
  <si>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</si>
  <si>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404
51</t>
  </si>
  <si>
    <t>3,87
0,17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</si>
  <si>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</si>
  <si>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</si>
  <si>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</si>
  <si>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</si>
  <si>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</si>
  <si>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ФССЦ-204-0059</t>
  </si>
  <si>
    <t>0,0018
0,00009*20</t>
  </si>
  <si>
    <t>Анкерные детали из прямых или гнутых круглых стержней с резьбой (в комплекте с шайбами и гайками или без них), поставляемые отдельно; МАТ=4,94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</si>
  <si>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</si>
  <si>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142
17</t>
  </si>
  <si>
    <t>1,33
0,06</t>
  </si>
  <si>
    <t>Устройство переходных лестниц  на кровле</t>
  </si>
  <si>
    <t>Прайс RS Element</t>
  </si>
  <si>
    <t>Лестница кровельная длиной 5 м (2700+1800)/1,18/5,56=685,89</t>
  </si>
  <si>
    <t>шт</t>
  </si>
  <si>
    <t>0,05
0,0125*4</t>
  </si>
  <si>
    <t>0,33
0,01</t>
  </si>
  <si>
    <t>Устройство переходных мостиков  на кровле</t>
  </si>
  <si>
    <t>Прайс  Руффо</t>
  </si>
  <si>
    <t>Переходный мостик 1250 мм 2250/1,18/5,56=342,95</t>
  </si>
  <si>
    <t>ФЕРр58-15-1</t>
  </si>
  <si>
    <t>529,88
521,86</t>
  </si>
  <si>
    <t>84.42 Перенавеска водосточных труб: ОЗП=16,9;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</si>
  <si>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</si>
  <si>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</si>
  <si>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</si>
  <si>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</si>
  <si>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</si>
  <si>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</si>
  <si>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МАТ=2,999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</si>
  <si>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</si>
  <si>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</si>
  <si>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МАТ=4,014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</si>
  <si>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</si>
  <si>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</si>
  <si>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МАТ=3,901</t>
  </si>
  <si>
    <t>Отливы (отметы) из оцинкованной стали толщиной 0,55 мм диаметром 140 мм</t>
  </si>
  <si>
    <t>ФССЦ-101-0782</t>
  </si>
  <si>
    <t>0,1872
1,8*104/1000</t>
  </si>
  <si>
    <t>Поковки из квадратных заготовок, масса: 1,8 кг; МАТ=4,269</t>
  </si>
  <si>
    <t>Поковки из квадратных заготовок, масса 1,8 кг хомуты</t>
  </si>
  <si>
    <t>6950
360</t>
  </si>
  <si>
    <t>2441,18
27,16</t>
  </si>
  <si>
    <t>8590
439</t>
  </si>
  <si>
    <t>2750,35
33,02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</si>
  <si>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41, 51, 56-57, 59, 65, 70, 73, 76, 80, 83, 64, 72)</t>
  </si>
  <si>
    <t>1640
78</t>
  </si>
  <si>
    <t>309,168
5,8525</t>
  </si>
  <si>
    <t>96055
7419</t>
  </si>
  <si>
    <t>Итого по разделу 3 Кровля</t>
  </si>
  <si>
    <t>Раздел 4. Вентиляционные шахты</t>
  </si>
  <si>
    <t>ФЕР08-02-001-09</t>
  </si>
  <si>
    <t>913,25
58,83</t>
  </si>
  <si>
    <t>31,1
4,86</t>
  </si>
  <si>
    <t>3697
811</t>
  </si>
  <si>
    <t>7,08
0,36</t>
  </si>
  <si>
    <t>55,65
2,83</t>
  </si>
  <si>
    <t>Кладка стен приямков и каналов</t>
  </si>
  <si>
    <t>ФЕР10-01-010-01</t>
  </si>
  <si>
    <t>ФЕР26-01-036-02</t>
  </si>
  <si>
    <t>167,14
115,03</t>
  </si>
  <si>
    <t>8,66
0,41</t>
  </si>
  <si>
    <t>26.41 Изоляция изделиями из волокнистых и зернистых материалов с креплением на клее и дюбелями холодных поверхностей: внутренних стен и перегородок: ОЗП=16,9; ЭМ=9,93; ЗПМ=16,9; МАТ=1,39</t>
  </si>
  <si>
    <t>13,96
0,03</t>
  </si>
  <si>
    <t>4,27
0,01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</si>
  <si>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</t>
  </si>
  <si>
    <t>100 м2 поверхности</t>
  </si>
  <si>
    <t>1,5759
1,53*1,03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</si>
  <si>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</si>
  <si>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</si>
  <si>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</si>
  <si>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</si>
  <si>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193
51</t>
  </si>
  <si>
    <t>112,75
0,2</t>
  </si>
  <si>
    <t>64,27
0,11</t>
  </si>
  <si>
    <t>Устройство мелких покрытий (брандмауэры, парапеты, свесы и т.п.) из листовой оцинкованной стали 57*6,14=350 кг</t>
  </si>
  <si>
    <t>ФЕР20-02-010-07</t>
  </si>
  <si>
    <t>42
26,4</t>
  </si>
  <si>
    <t>7,21
0,14</t>
  </si>
  <si>
    <t>20.25 Установка зонтов над шахтами из листовой и оцинкованной стали: ОЗП=16,9; ЭМ=7,61; ЗПМ=16,9; МАТ=5,89</t>
  </si>
  <si>
    <t>411
17</t>
  </si>
  <si>
    <t>2,98
0,01</t>
  </si>
  <si>
    <t>17,88
0,06</t>
  </si>
  <si>
    <t>НР 98%=128%*(0,85*0,9) от ФОТ</t>
  </si>
  <si>
    <t>СП 56%=83%*(0,8*0,85) от ФОТ</t>
  </si>
  <si>
    <t>Установка зонтов над шахтами из листовой стали прямоугольного сечения периметром : 3600 мм</t>
  </si>
  <si>
    <t>1 зонт</t>
  </si>
  <si>
    <t>ФССЦ-301-0294</t>
  </si>
  <si>
    <t>Зонты вентиляционных систем из листовой оцинкованной стали, прямоугольные, периметром шахты 3600 мм; МАТ=3,444</t>
  </si>
  <si>
    <t>Зонты вентиляционных систем из листовой оцинкованной стали: прямоугольные, периметром шахты 3600 мм</t>
  </si>
  <si>
    <t>ФЕР20-02-010-06</t>
  </si>
  <si>
    <t>33,93
20,11</t>
  </si>
  <si>
    <t>5,74
0,14</t>
  </si>
  <si>
    <t>2,27
0,01</t>
  </si>
  <si>
    <t>4,54
0,02</t>
  </si>
  <si>
    <t>Установка зонтов над шахтами из листовой стали прямоугольного сечения периметром : 3200 мм</t>
  </si>
  <si>
    <t>ФССЦ-301-0293</t>
  </si>
  <si>
    <t>Зонты вентиляционных систем из листовой оцинкованной стали, прямоугольные, периметром шахты 3200 мм; МАТ=4,917</t>
  </si>
  <si>
    <t>Зонты вентиляционных систем из листовой оцинкованной стали: прямоугольные, периметром шахты 3200 мм</t>
  </si>
  <si>
    <t>ФССЦ-101-1731</t>
  </si>
  <si>
    <t>Сталь полосовая марки Ст0, шириной 70 мм, толщиной 4-5 мм; МАТ=5,935</t>
  </si>
  <si>
    <t>Сталь полосовая, марка стали: Ст0 шириной 70 мм толщиной 4-5 мм</t>
  </si>
  <si>
    <t>ФССЦ-101-3400</t>
  </si>
  <si>
    <t>Дюбель-гвоздь 8x100 мм; МАТ=1,377</t>
  </si>
  <si>
    <t>Дюбель-гвоздь 8х100 мм</t>
  </si>
  <si>
    <t>100 шт.</t>
  </si>
  <si>
    <t>331
41</t>
  </si>
  <si>
    <t>158,09
3,03</t>
  </si>
  <si>
    <t>414
52</t>
  </si>
  <si>
    <t>181,8
3,8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</si>
  <si>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92-94, 96, 99, 101)</t>
  </si>
  <si>
    <t>83
10</t>
  </si>
  <si>
    <t>23,7135
0,7575</t>
  </si>
  <si>
    <t>4689
879</t>
  </si>
  <si>
    <t>Итого по разделу 4 Вентиляционные шахты</t>
  </si>
  <si>
    <t>Раздел 5. Утепление фановых труб - 12 шт</t>
  </si>
  <si>
    <t>ФЕРр65-38-1</t>
  </si>
  <si>
    <t>167,86
26,18</t>
  </si>
  <si>
    <t>90.117 Смена частей канализационного стояка над кровлей: патрубка: ОЗП=16,9; МАТ=11,35</t>
  </si>
  <si>
    <t>НР 88%=103%*0,85 от ФОТ</t>
  </si>
  <si>
    <t>СП 48%=60%*0,8 от ФОТ</t>
  </si>
  <si>
    <t>Смена частей канализационного стояка над кровлей: патрубка</t>
  </si>
  <si>
    <t>1 шт.</t>
  </si>
  <si>
    <t>ФССЦ-103-0917</t>
  </si>
  <si>
    <t>Трубы чугунные канализационные длиной 2 м, диаметром:150 мм; МАТ=12,191</t>
  </si>
  <si>
    <t>Трубы чугунные канализационные длиной 2 м, диаметром: 150 мм</t>
  </si>
  <si>
    <t>ФССЦ-302-3340</t>
  </si>
  <si>
    <t>Трубопроводы канализации из полиэтиленовых труб высокой плотности с гильзами, диаметром 110 мм; МАТ=3,112</t>
  </si>
  <si>
    <t>Трубопроводы канализации из полиэтиленовых труб высокой плотности с гильзами, диаметром: 110 мм</t>
  </si>
  <si>
    <t>ФЕР26-01-055-02</t>
  </si>
  <si>
    <t>0,122496
0,010208*12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</si>
  <si>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</si>
  <si>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</si>
  <si>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</si>
  <si>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</si>
  <si>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</si>
  <si>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-14,0904
-1,1742*12</t>
  </si>
  <si>
    <t>Пленка полиэтиленовая толщиной 0,2-0,5 мм, изоловая; МАТ=1,222</t>
  </si>
  <si>
    <t>Пленка полиэтиленовая толщиной: 0,2-0,5 мм, изоловая</t>
  </si>
  <si>
    <t>14,0904
1,1742*12</t>
  </si>
  <si>
    <t>ФЕР26-01-054-01
МАТ=0</t>
  </si>
  <si>
    <t>326,9
276,31</t>
  </si>
  <si>
    <t>26.71 Обертывание поверхности изоляции рулонными материалами насухо с проклейкой швов: ОЗП=16,9; ЭМ=10,73; ЗПМ=16,9; МАТ=9,72</t>
  </si>
  <si>
    <t>(материалы МАТ=0 к расх.)</t>
  </si>
  <si>
    <t>Обертывание поверхности изоляции рулонными материалами насухо с проклейкой швов</t>
  </si>
  <si>
    <t>ФССЦ-104-9242-90005</t>
  </si>
  <si>
    <t>50,676
24,6*2*1,03</t>
  </si>
  <si>
    <t>Утеплитель URSA: М 15, толщиной 50 мм 94,37/5,56=16,97</t>
  </si>
  <si>
    <t>ФЕР26-01-054-01
ПЗ=2
ОЗП=2
ЭМ=2
ЗПМ=2
МАТ=2*0
ТЗ=2
ТЗМ=2</t>
  </si>
  <si>
    <t>653,8
552,62</t>
  </si>
  <si>
    <t>(В 2 слоя ПЗ=2 (ОЗП=2; ЭМ=2 к расх.; ЗПМ=2; МАТ=2 к расх.; ТЗ=2; ТЗМ=2);
материалы МАТ=0 к расх.)</t>
  </si>
  <si>
    <t>ФССЦ-104-0090</t>
  </si>
  <si>
    <t>0,1127
0,098*1,15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</si>
  <si>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</si>
  <si>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</si>
  <si>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</si>
  <si>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ФЕР26-01-053-01</t>
  </si>
  <si>
    <t>0,3216
0,0268*12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</si>
  <si>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</si>
  <si>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</si>
  <si>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</si>
  <si>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ФССЦ-101-1876</t>
  </si>
  <si>
    <t>Сталь листовая оцинкованная толщиной листа:0,8 мм; МАТ=3,776</t>
  </si>
  <si>
    <t>Сталь листовая оцинкованная толщиной листа: 0,8 мм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</si>
  <si>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108, 111, 113, 115)</t>
  </si>
  <si>
    <t>Итого по разделу 5 Утепление фановых труб - 12 шт</t>
  </si>
  <si>
    <t>Раздел 6. Молниезащита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</si>
  <si>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</si>
  <si>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</si>
  <si>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</si>
  <si>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</si>
  <si>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1166
68</t>
  </si>
  <si>
    <t>20,1
0,11</t>
  </si>
  <si>
    <t>53,47
0,29</t>
  </si>
  <si>
    <t>НР 81%=95%*0,85 от ФОТ</t>
  </si>
  <si>
    <t>Проводник заземляющий открыто по строительным основаниям: из круглой стали диаметром 8 мм</t>
  </si>
  <si>
    <t>100 м</t>
  </si>
  <si>
    <t>511
34</t>
  </si>
  <si>
    <t>23,52
0,13</t>
  </si>
  <si>
    <t>ФССЦ-101-1627</t>
  </si>
  <si>
    <t>-0,1532
-0,1064-0,0468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</si>
  <si>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</si>
  <si>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</si>
  <si>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</si>
  <si>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0,15129
0,10507+0,04622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</si>
  <si>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</si>
  <si>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</si>
  <si>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</si>
  <si>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374,79
200,22</t>
  </si>
  <si>
    <t>69,36
2,57</t>
  </si>
  <si>
    <t>1089
85</t>
  </si>
  <si>
    <t>21,3
0,19</t>
  </si>
  <si>
    <t>39,19
0,35</t>
  </si>
  <si>
    <t>Проводник заземляющий открыто по строительным основаниям: из круглой стали диаметром 12 мм</t>
  </si>
  <si>
    <t>ФССЦ-101-1619</t>
  </si>
  <si>
    <t>Сталь круглая углеродистая обыкновенного качества марки ВСт3пс5-1 диаметром 18 мм; МАТ=4,865</t>
  </si>
  <si>
    <t>Сталь круглая углеродистая обыкновенного качества марки ВСт3пс5-1 диаметром: 18 мм</t>
  </si>
  <si>
    <t>ФЕРм08-02-471-04</t>
  </si>
  <si>
    <t>155,02
77,93</t>
  </si>
  <si>
    <t>51,63
1,89</t>
  </si>
  <si>
    <t>55.347 Заземлители: ОЗП=16,9; ЭМ=8,89; ЗПМ=16,9; МАТ=3,6</t>
  </si>
  <si>
    <t>364
34</t>
  </si>
  <si>
    <t>8,29
0,14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</si>
  <si>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</si>
  <si>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</si>
  <si>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</si>
  <si>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</si>
  <si>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</si>
  <si>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</si>
  <si>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2,22
0,03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</si>
  <si>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</si>
  <si>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</si>
  <si>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</si>
  <si>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</si>
  <si>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</si>
  <si>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</si>
  <si>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</si>
  <si>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</si>
  <si>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ФЕРм10-05-001-04</t>
  </si>
  <si>
    <t>251,26
246,33</t>
  </si>
  <si>
    <t>57.204 Настройка крупных систем коллективного приёма телевидения (КСКПТ): ОЗП=16,9; МАТ=5,56</t>
  </si>
  <si>
    <t>НР 78%=92%*0,85 от ФОТ</t>
  </si>
  <si>
    <t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</si>
  <si>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</si>
  <si>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ФССЦ-103-0358</t>
  </si>
  <si>
    <t>28
7*4</t>
  </si>
  <si>
    <t>Трубы стальные бесшовные, горячедеформированные со снятой фаской из стали марок 15, 20, 25, наружным диаметром:57 мм, толщина стенки 5 мм; МАТ=5,639</t>
  </si>
  <si>
    <t>Трубы стальные бесшовные, горячедеформированные со снятой фаской из стали марок 15, 20, 25, наружным диаметром: 57 мм, толщина стенки 4 мм</t>
  </si>
  <si>
    <t>0,00108
0,00009*12</t>
  </si>
  <si>
    <t>ФССЦ-201-1002
применительно</t>
  </si>
  <si>
    <t>12
3*4</t>
  </si>
  <si>
    <t>Тяжи и анкеры; МАТ=6,069</t>
  </si>
  <si>
    <t>Растяжки с талрепами к дефлекторам диаметром патрубка: 280 мм</t>
  </si>
  <si>
    <t>ФССЦ-101-2877</t>
  </si>
  <si>
    <t>Болт анкерный диаметром 12 мм; МАТ=5,37</t>
  </si>
  <si>
    <t>Болт анкерный диаметром 12 мм</t>
  </si>
  <si>
    <t>375
13</t>
  </si>
  <si>
    <t>225,11
0,91</t>
  </si>
  <si>
    <t>3206
220</t>
  </si>
  <si>
    <t>Итого по разделу 6 Молниезащита</t>
  </si>
  <si>
    <t>Раздел 7. Вывоз мусора</t>
  </si>
  <si>
    <t>ФССЦпг01-01-01-041</t>
  </si>
  <si>
    <t>4,8231
160,77*0,03</t>
  </si>
  <si>
    <t>42,98
42,98</t>
  </si>
  <si>
    <t>Мусор строительный, вручную: погрузка: ОЗП=11,13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</si>
  <si>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</si>
  <si>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</si>
  <si>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</si>
  <si>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</si>
  <si>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</si>
  <si>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155,9469
160,77*0,97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</si>
  <si>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</si>
  <si>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</si>
  <si>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</si>
  <si>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160,77
14,7+1,152+0,036+0,112+15,27+9,819+8,837+1,3+0,142+14,15+94,14+1,112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</si>
  <si>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</si>
  <si>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</si>
  <si>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</si>
  <si>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</si>
  <si>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15244
956</t>
  </si>
  <si>
    <t>5618,93
71,19</t>
  </si>
  <si>
    <t>Итого прямые затраты по смете с учетом коэффициентов к итогам</t>
  </si>
  <si>
    <t>17785
1135</t>
  </si>
  <si>
    <t>6210,49
84,39</t>
  </si>
  <si>
    <t>Итого прямые затраты по смете с учетом индексов, в текущих ценах</t>
  </si>
  <si>
    <t>198442
19183</t>
  </si>
  <si>
    <t>Итоги по смете:</t>
  </si>
  <si>
    <t xml:space="preserve">  Итого Строительные работы</t>
  </si>
  <si>
    <t>5985,38
83,48</t>
  </si>
  <si>
    <t xml:space="preserve">  Итого Монтажные работы</t>
  </si>
  <si>
    <t>220,23
0,91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</si>
  <si>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</si>
  <si>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</si>
  <si>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</si>
  <si>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</si>
  <si>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</si>
  <si>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</si>
  <si>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</si>
  <si>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</si>
  <si>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</si>
  <si>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</si>
  <si>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>Стоимость единицы                                        (в базисном уровне цен с учетом всех коэффициентов к позиции)</t>
  </si>
  <si>
    <t>Общая стоимость                                                                    (в текущем уровне цен)</t>
  </si>
  <si>
    <t>Основание:  проект П-15-122-1-АС</t>
  </si>
  <si>
    <t>на  Капитальный ремонт скатной  крыши</t>
  </si>
  <si>
    <t xml:space="preserve"> Капитальный ремонт  многоквартирного дом по адресу: Томская область, г. Томск, по пр-ту, Фрунзе,  дом № 120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</si>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</sst>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0" xfId="0" applyFont="1" applyBorder="1" applyAlignment="1"/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28"/>
  <sheetViews>
    <sheetView showGridLines="0" tabSelected="1" zoomScale="101" zoomScaleNormal="101" workbookViewId="0">
      <selection activeCell="A217" sqref="A217:H217"/>
    </sheetView>
  </sheetViews>
  <sheetFormatPr defaultColWidth="9.109375" defaultRowHeight="13.2" x14ac:dyDescent="0.25"/>
  <cols>
    <col min="1" max="1" width="3.44140625" style="3" customWidth="1"/>
    <col min="2" max="2" width="14.44140625" style="3" customWidth="1"/>
    <col min="3" max="3" width="41.6640625" style="3" customWidth="1"/>
    <col min="4" max="4" width="6.88671875" style="3" customWidth="1"/>
    <col min="5" max="5" width="9.6640625" style="32" customWidth="1"/>
    <col min="6" max="6" width="8.88671875" style="32" customWidth="1"/>
    <col min="7" max="7" width="0.109375" style="32" hidden="1" customWidth="1"/>
    <col min="8" max="8" width="25.33203125" style="32" customWidth="1"/>
    <col min="9" max="9" width="9.6640625" style="32" customWidth="1"/>
    <col min="10" max="10" width="8.109375" style="32" customWidth="1"/>
    <col min="11" max="11" width="8.6640625" style="32" customWidth="1"/>
    <col min="12" max="12" width="8.88671875" style="32" hidden="1" customWidth="1"/>
    <col min="13" max="13" width="7.6640625" style="32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37" width="0" style="2" hidden="1" customWidth="1"/>
    <col min="38" max="16384" width="9.109375" style="2"/>
  </cols>
  <sheetData>
    <row r="1" spans="1:14" s="1" customFormat="1" x14ac:dyDescent="0.25">
      <c r="A1" s="14"/>
      <c r="B1" s="19"/>
      <c r="C1" s="14"/>
      <c r="E1" s="20"/>
      <c r="F1" s="21" t="s">
        <v>667</v>
      </c>
      <c r="G1" s="20"/>
      <c r="H1" s="22"/>
      <c r="I1" s="14"/>
      <c r="J1" s="14"/>
      <c r="K1" s="14"/>
      <c r="L1" s="14"/>
      <c r="M1" s="14"/>
    </row>
    <row r="2" spans="1:14" s="1" customFormat="1" x14ac:dyDescent="0.25">
      <c r="A2" s="7" t="s">
        <v>5</v>
      </c>
      <c r="B2" s="19"/>
      <c r="D2" s="22"/>
      <c r="F2" s="30" t="s">
        <v>1</v>
      </c>
      <c r="G2" s="30"/>
      <c r="J2" s="7"/>
      <c r="L2" s="7"/>
      <c r="M2" s="14"/>
      <c r="N2" s="23" t="s">
        <v>6</v>
      </c>
    </row>
    <row r="3" spans="1:14" s="1" customFormat="1" x14ac:dyDescent="0.25">
      <c r="A3" s="24" t="s">
        <v>7</v>
      </c>
      <c r="E3" s="14"/>
      <c r="F3" s="14"/>
      <c r="G3" s="14"/>
      <c r="H3" s="14"/>
      <c r="J3" s="7"/>
      <c r="L3" s="7"/>
      <c r="M3" s="14"/>
      <c r="N3" s="25" t="s">
        <v>0</v>
      </c>
    </row>
    <row r="4" spans="1:14" s="1" customFormat="1" ht="51" customHeight="1" x14ac:dyDescent="0.25">
      <c r="A4" s="77" t="s">
        <v>23</v>
      </c>
      <c r="B4" s="77"/>
      <c r="C4" s="77"/>
      <c r="F4" s="26" t="s">
        <v>24</v>
      </c>
      <c r="G4" s="14"/>
      <c r="I4" s="78" t="s">
        <v>23</v>
      </c>
      <c r="J4" s="78"/>
      <c r="K4" s="78"/>
      <c r="L4" s="78"/>
      <c r="M4" s="78"/>
      <c r="N4" s="78"/>
    </row>
    <row r="5" spans="1:14" s="1" customFormat="1" x14ac:dyDescent="0.25">
      <c r="A5" s="14"/>
      <c r="B5" s="14"/>
      <c r="C5" s="14"/>
      <c r="F5" s="14" t="s">
        <v>2</v>
      </c>
      <c r="G5" s="14"/>
      <c r="I5" s="14"/>
      <c r="J5" s="14"/>
      <c r="K5" s="14"/>
      <c r="L5" s="14"/>
      <c r="M5" s="14"/>
    </row>
    <row r="6" spans="1:14" s="1" customFormat="1" x14ac:dyDescent="0.25">
      <c r="A6" s="14"/>
      <c r="B6" s="14"/>
      <c r="C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" customFormat="1" x14ac:dyDescent="0.25">
      <c r="A7" s="14"/>
      <c r="B7" s="14"/>
      <c r="C7" s="27"/>
      <c r="D7" s="28" t="s">
        <v>666</v>
      </c>
      <c r="E7" s="29"/>
      <c r="F7" s="29"/>
      <c r="G7" s="29"/>
      <c r="H7" s="29"/>
      <c r="I7" s="30"/>
      <c r="J7" s="30"/>
      <c r="K7" s="30"/>
      <c r="L7" s="30"/>
      <c r="M7" s="14"/>
    </row>
    <row r="8" spans="1:14" s="1" customFormat="1" x14ac:dyDescent="0.25">
      <c r="A8" s="14"/>
      <c r="B8" s="14"/>
      <c r="C8" s="14"/>
      <c r="D8" s="31" t="s">
        <v>21</v>
      </c>
      <c r="E8" s="30"/>
      <c r="F8" s="30"/>
      <c r="G8" s="30"/>
      <c r="I8" s="30"/>
      <c r="J8" s="30"/>
      <c r="K8" s="30"/>
      <c r="L8" s="30"/>
      <c r="M8" s="14"/>
    </row>
    <row r="9" spans="1:14" s="1" customFormat="1" ht="7.5" customHeight="1" x14ac:dyDescent="0.25">
      <c r="A9" s="14"/>
      <c r="B9" s="14"/>
      <c r="C9" s="14"/>
      <c r="E9" s="14"/>
      <c r="F9" s="14"/>
      <c r="G9" s="14"/>
      <c r="H9" s="14"/>
      <c r="I9" s="14"/>
      <c r="J9" s="14"/>
      <c r="M9" s="14"/>
    </row>
    <row r="10" spans="1:14" x14ac:dyDescent="0.25">
      <c r="A10" s="79" t="s">
        <v>665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x14ac:dyDescent="0.25">
      <c r="A11" s="5" t="s">
        <v>10</v>
      </c>
      <c r="B11" s="6"/>
      <c r="C11" s="80">
        <v>5231285</v>
      </c>
      <c r="D11" s="80"/>
      <c r="E11" s="80"/>
      <c r="F11" s="7" t="s">
        <v>9</v>
      </c>
      <c r="G11" s="8"/>
      <c r="H11" s="8"/>
      <c r="I11" s="8"/>
      <c r="J11" s="8"/>
    </row>
    <row r="12" spans="1:14" x14ac:dyDescent="0.25">
      <c r="A12" s="5" t="s">
        <v>20</v>
      </c>
      <c r="B12" s="6"/>
      <c r="C12" s="9"/>
      <c r="D12" s="81">
        <v>940920</v>
      </c>
      <c r="E12" s="81"/>
      <c r="F12" s="7" t="s">
        <v>9</v>
      </c>
      <c r="G12" s="8"/>
      <c r="H12" s="8"/>
      <c r="I12" s="8"/>
      <c r="J12" s="8"/>
    </row>
    <row r="13" spans="1:14" x14ac:dyDescent="0.25">
      <c r="A13" s="5" t="s">
        <v>662</v>
      </c>
      <c r="B13" s="2"/>
      <c r="C13" s="10"/>
      <c r="D13" s="11"/>
      <c r="E13" s="12"/>
      <c r="F13" s="33"/>
      <c r="G13" s="13"/>
      <c r="H13" s="13"/>
      <c r="I13" s="8"/>
      <c r="J13" s="8"/>
    </row>
    <row r="14" spans="1:14" ht="11.25" customHeight="1" x14ac:dyDescent="0.25">
      <c r="A14" s="14"/>
      <c r="B14" s="7"/>
      <c r="C14" s="7"/>
      <c r="D14" s="14"/>
      <c r="E14" s="8"/>
      <c r="F14" s="8"/>
      <c r="G14" s="8"/>
      <c r="H14" s="9"/>
      <c r="I14" s="8"/>
      <c r="J14" s="8"/>
      <c r="K14" s="8"/>
      <c r="L14" s="8"/>
      <c r="M14" s="8"/>
      <c r="N14" s="2" t="s">
        <v>9</v>
      </c>
    </row>
    <row r="15" spans="1:14" ht="12.75" customHeight="1" x14ac:dyDescent="0.25">
      <c r="A15" s="73" t="s">
        <v>3</v>
      </c>
      <c r="B15" s="73" t="s">
        <v>17</v>
      </c>
      <c r="C15" s="75" t="s">
        <v>22</v>
      </c>
      <c r="D15" s="75" t="s">
        <v>18</v>
      </c>
      <c r="E15" s="86" t="s">
        <v>663</v>
      </c>
      <c r="F15" s="87"/>
      <c r="G15" s="88"/>
      <c r="H15" s="75" t="s">
        <v>4</v>
      </c>
      <c r="I15" s="86" t="s">
        <v>664</v>
      </c>
      <c r="J15" s="92"/>
      <c r="K15" s="92"/>
      <c r="L15" s="83"/>
      <c r="M15" s="82" t="s">
        <v>19</v>
      </c>
      <c r="N15" s="83"/>
    </row>
    <row r="16" spans="1:14" s="4" customFormat="1" ht="38.25" customHeight="1" x14ac:dyDescent="0.25">
      <c r="A16" s="76"/>
      <c r="B16" s="76"/>
      <c r="C16" s="76"/>
      <c r="D16" s="76"/>
      <c r="E16" s="89"/>
      <c r="F16" s="90"/>
      <c r="G16" s="91"/>
      <c r="H16" s="76"/>
      <c r="I16" s="84"/>
      <c r="J16" s="93"/>
      <c r="K16" s="93"/>
      <c r="L16" s="85"/>
      <c r="M16" s="84"/>
      <c r="N16" s="85"/>
    </row>
    <row r="17" spans="1:35" s="4" customFormat="1" ht="12.75" customHeight="1" x14ac:dyDescent="0.25">
      <c r="A17" s="76"/>
      <c r="B17" s="76"/>
      <c r="C17" s="76"/>
      <c r="D17" s="76"/>
      <c r="E17" s="34" t="s">
        <v>12</v>
      </c>
      <c r="F17" s="34" t="s">
        <v>14</v>
      </c>
      <c r="G17" s="75" t="s">
        <v>16</v>
      </c>
      <c r="H17" s="76"/>
      <c r="I17" s="75" t="s">
        <v>12</v>
      </c>
      <c r="J17" s="75" t="s">
        <v>15</v>
      </c>
      <c r="K17" s="34" t="s">
        <v>14</v>
      </c>
      <c r="L17" s="75" t="s">
        <v>16</v>
      </c>
      <c r="M17" s="73" t="s">
        <v>8</v>
      </c>
      <c r="N17" s="75" t="s">
        <v>12</v>
      </c>
    </row>
    <row r="18" spans="1:35" s="4" customFormat="1" ht="11.25" customHeight="1" x14ac:dyDescent="0.25">
      <c r="A18" s="74"/>
      <c r="B18" s="74"/>
      <c r="C18" s="74"/>
      <c r="D18" s="74"/>
      <c r="E18" s="35" t="s">
        <v>11</v>
      </c>
      <c r="F18" s="34" t="s">
        <v>13</v>
      </c>
      <c r="G18" s="74"/>
      <c r="H18" s="74"/>
      <c r="I18" s="74"/>
      <c r="J18" s="74"/>
      <c r="K18" s="34" t="s">
        <v>13</v>
      </c>
      <c r="L18" s="74"/>
      <c r="M18" s="74"/>
      <c r="N18" s="74"/>
    </row>
    <row r="19" spans="1:35" x14ac:dyDescent="0.25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7</v>
      </c>
      <c r="I19" s="40">
        <v>8</v>
      </c>
      <c r="J19" s="40">
        <v>9</v>
      </c>
      <c r="K19" s="40">
        <v>10</v>
      </c>
      <c r="L19" s="40">
        <v>12</v>
      </c>
      <c r="M19" s="40">
        <v>11</v>
      </c>
      <c r="N19" s="40">
        <v>12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1"/>
      <c r="AB19" s="42"/>
      <c r="AC19" s="42"/>
      <c r="AD19" s="42"/>
      <c r="AE19" s="42"/>
      <c r="AF19" s="43"/>
      <c r="AG19" s="42"/>
      <c r="AH19" s="42"/>
      <c r="AI19" s="42"/>
    </row>
    <row r="20" spans="1:35" ht="21" customHeight="1" x14ac:dyDescent="0.25">
      <c r="A20" s="68" t="s">
        <v>26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32" x14ac:dyDescent="0.25">
      <c r="A21" s="44">
        <v>1</v>
      </c>
      <c r="B21" s="45" t="s">
        <v>27</v>
      </c>
      <c r="C21" s="46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 1050*0,014=14,7 т
100 м2 покрытия
18483 руб. НР 84%=110%*(0,85*0,9) от ФОТ (22004 руб.)
10562 руб.СП 48%=70%*(0,8*0,85) от ФОТ (22004 руб.)
</v>
      </c>
      <c r="D21" s="44">
        <v>10.5</v>
      </c>
      <c r="E21" s="47" t="s">
        <v>28</v>
      </c>
      <c r="F21" s="47">
        <v>30.64</v>
      </c>
      <c r="G21" s="47"/>
      <c r="H21" s="58" t="s">
        <v>29</v>
      </c>
      <c r="I21" s="48">
        <v>22967</v>
      </c>
      <c r="J21" s="47">
        <v>22004</v>
      </c>
      <c r="K21" s="47">
        <v>963</v>
      </c>
      <c r="L21" s="47" t="str">
        <f>IF(10.5*0=0," ",TEXT(,ROUND((10.5*0*1),2)))</f>
        <v xml:space="preserve"> </v>
      </c>
      <c r="M21" s="47">
        <v>15.9</v>
      </c>
      <c r="N21" s="47">
        <v>166.95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 t="s">
        <v>30</v>
      </c>
      <c r="AB21" s="50" t="s">
        <v>31</v>
      </c>
      <c r="AC21" s="50">
        <v>18483</v>
      </c>
      <c r="AD21" s="50">
        <v>10562</v>
      </c>
      <c r="AE21" s="50"/>
      <c r="AF21" s="51" t="s">
        <v>32</v>
      </c>
      <c r="AG21" s="50" t="s">
        <v>33</v>
      </c>
      <c r="AH21" s="50"/>
      <c r="AI21" s="50">
        <f>22004+0</f>
        <v>22004</v>
      </c>
    </row>
    <row r="22" spans="1:35" ht="118.8" x14ac:dyDescent="0.25">
      <c r="A22" s="44">
        <v>2</v>
      </c>
      <c r="B22" s="45" t="s">
        <v>34</v>
      </c>
      <c r="C22" s="46" t="str">
        <f t="shared" ca="1" si="0"/>
        <v xml:space="preserve">Разборка покрытий кровель: из листовой стали 192*0,006=1,152 т
100 м2 покрытия
1817 руб. НР 84%=110%*(0,85*0,9) от ФОТ (2163 руб.)
1038 руб.СП 48%=70%*(0,8*0,85) от ФОТ (2163 руб.)
</v>
      </c>
      <c r="D22" s="44">
        <v>1.92</v>
      </c>
      <c r="E22" s="47" t="s">
        <v>35</v>
      </c>
      <c r="F22" s="47">
        <v>12.52</v>
      </c>
      <c r="G22" s="47"/>
      <c r="H22" s="58" t="s">
        <v>29</v>
      </c>
      <c r="I22" s="48">
        <v>2236</v>
      </c>
      <c r="J22" s="47">
        <v>2163</v>
      </c>
      <c r="K22" s="47">
        <v>72</v>
      </c>
      <c r="L22" s="47" t="str">
        <f>IF(1.92*0=0," ",TEXT(,ROUND((1.92*0*1),2)))</f>
        <v xml:space="preserve"> </v>
      </c>
      <c r="M22" s="47">
        <v>8.58</v>
      </c>
      <c r="N22" s="47">
        <v>16.47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 t="s">
        <v>30</v>
      </c>
      <c r="AB22" s="50" t="s">
        <v>31</v>
      </c>
      <c r="AC22" s="50">
        <v>1817</v>
      </c>
      <c r="AD22" s="50">
        <v>1038</v>
      </c>
      <c r="AE22" s="50"/>
      <c r="AF22" s="51" t="s">
        <v>36</v>
      </c>
      <c r="AG22" s="50" t="s">
        <v>33</v>
      </c>
      <c r="AH22" s="50"/>
      <c r="AI22" s="50">
        <f>2163+0</f>
        <v>2163</v>
      </c>
    </row>
    <row r="23" spans="1:35" ht="105.6" x14ac:dyDescent="0.25">
      <c r="A23" s="44">
        <v>3</v>
      </c>
      <c r="B23" s="45" t="s">
        <v>37</v>
      </c>
      <c r="C23" s="46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252 руб. НР 71%=83%*0,85 от ФОТ (355 руб.)
185 руб.СП 52%=65%*0,8 от ФОТ (355 руб.)
</v>
      </c>
      <c r="D23" s="44">
        <v>0.3</v>
      </c>
      <c r="E23" s="47" t="s">
        <v>38</v>
      </c>
      <c r="F23" s="47">
        <v>0.2</v>
      </c>
      <c r="G23" s="47"/>
      <c r="H23" s="58" t="s">
        <v>39</v>
      </c>
      <c r="I23" s="48">
        <v>355</v>
      </c>
      <c r="J23" s="47">
        <v>355</v>
      </c>
      <c r="K23" s="47"/>
      <c r="L23" s="47" t="str">
        <f>IF(0.3*0=0," ",TEXT(,ROUND((0.3*0*1),2)))</f>
        <v xml:space="preserve"> </v>
      </c>
      <c r="M23" s="47">
        <v>9.1</v>
      </c>
      <c r="N23" s="47">
        <v>2.73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 t="s">
        <v>40</v>
      </c>
      <c r="AB23" s="50" t="s">
        <v>41</v>
      </c>
      <c r="AC23" s="50">
        <v>252</v>
      </c>
      <c r="AD23" s="50">
        <v>185</v>
      </c>
      <c r="AE23" s="50"/>
      <c r="AF23" s="51" t="s">
        <v>42</v>
      </c>
      <c r="AG23" s="50" t="s">
        <v>43</v>
      </c>
      <c r="AH23" s="50"/>
      <c r="AI23" s="50">
        <f>355+0</f>
        <v>355</v>
      </c>
    </row>
    <row r="24" spans="1:35" ht="92.4" x14ac:dyDescent="0.25">
      <c r="A24" s="44">
        <v>4</v>
      </c>
      <c r="B24" s="45" t="s">
        <v>44</v>
      </c>
      <c r="C24" s="46" t="str">
        <f t="shared" ca="1" si="0"/>
        <v xml:space="preserve">Разборка слуховых окон: прямоугольных односкатных
100 окон
588 руб. НР 71%=83%*0,85 от ФОТ (828 руб.)
431 руб.СП 52%=65%*0,8 от ФОТ (828 руб.)
</v>
      </c>
      <c r="D24" s="44">
        <v>0.02</v>
      </c>
      <c r="E24" s="47" t="s">
        <v>45</v>
      </c>
      <c r="F24" s="47">
        <v>10.37</v>
      </c>
      <c r="G24" s="47"/>
      <c r="H24" s="58" t="s">
        <v>46</v>
      </c>
      <c r="I24" s="48">
        <v>828</v>
      </c>
      <c r="J24" s="47">
        <v>828</v>
      </c>
      <c r="K24" s="47"/>
      <c r="L24" s="47" t="str">
        <f>IF(0.02*0=0," ",TEXT(,ROUND((0.02*0*1),2)))</f>
        <v xml:space="preserve"> </v>
      </c>
      <c r="M24" s="47">
        <v>309.3</v>
      </c>
      <c r="N24" s="47">
        <v>6.19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 t="s">
        <v>40</v>
      </c>
      <c r="AB24" s="50" t="s">
        <v>41</v>
      </c>
      <c r="AC24" s="50">
        <v>588</v>
      </c>
      <c r="AD24" s="50">
        <v>431</v>
      </c>
      <c r="AE24" s="50"/>
      <c r="AF24" s="51" t="s">
        <v>47</v>
      </c>
      <c r="AG24" s="50" t="s">
        <v>48</v>
      </c>
      <c r="AH24" s="50"/>
      <c r="AI24" s="50">
        <f>828+0</f>
        <v>828</v>
      </c>
    </row>
    <row r="25" spans="1:35" ht="118.8" x14ac:dyDescent="0.25">
      <c r="A25" s="44">
        <v>5</v>
      </c>
      <c r="B25" s="45" t="s">
        <v>49</v>
      </c>
      <c r="C25" s="46" t="str">
        <f t="shared" ca="1" si="0"/>
        <v xml:space="preserve">Разборка деревянных элементов конструкций крыш: обрешетки из брусков с прозорами
100 м2 кровли
16571 руб. НР 71%=83%*0,85 от ФОТ (23339 руб.)
12136 руб.СП 52%=65%*0,8 от ФОТ (23339 руб.)
</v>
      </c>
      <c r="D25" s="44">
        <v>10.91</v>
      </c>
      <c r="E25" s="47" t="s">
        <v>50</v>
      </c>
      <c r="F25" s="47" t="s">
        <v>51</v>
      </c>
      <c r="G25" s="47"/>
      <c r="H25" s="58" t="s">
        <v>52</v>
      </c>
      <c r="I25" s="48">
        <v>27450</v>
      </c>
      <c r="J25" s="47">
        <v>22190</v>
      </c>
      <c r="K25" s="47" t="s">
        <v>53</v>
      </c>
      <c r="L25" s="47" t="str">
        <f>IF(10.91*0=0," ",TEXT(,ROUND((10.91*0*1),2)))</f>
        <v xml:space="preserve"> </v>
      </c>
      <c r="M25" s="47" t="s">
        <v>54</v>
      </c>
      <c r="N25" s="47" t="s">
        <v>55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0" t="s">
        <v>40</v>
      </c>
      <c r="AB25" s="50" t="s">
        <v>41</v>
      </c>
      <c r="AC25" s="50">
        <v>16571</v>
      </c>
      <c r="AD25" s="50">
        <v>12136</v>
      </c>
      <c r="AE25" s="50"/>
      <c r="AF25" s="51" t="s">
        <v>56</v>
      </c>
      <c r="AG25" s="50" t="s">
        <v>57</v>
      </c>
      <c r="AH25" s="50"/>
      <c r="AI25" s="50">
        <f>22190+1149</f>
        <v>23339</v>
      </c>
    </row>
    <row r="26" spans="1:35" ht="118.8" x14ac:dyDescent="0.25">
      <c r="A26" s="44">
        <v>6</v>
      </c>
      <c r="B26" s="45" t="s">
        <v>58</v>
      </c>
      <c r="C26" s="46" t="str">
        <f t="shared" ca="1" si="0"/>
        <v xml:space="preserve">Разборка деревянных элементов конструкций крыш: стропил со стойками и подкосами из досок
100 м2 кровли
24538 руб. НР 71%=83%*0,85 от ФОТ (34561 руб.)
17972 руб.СП 52%=65%*0,8 от ФОТ (34561 руб.)
</v>
      </c>
      <c r="D26" s="44">
        <v>10.91</v>
      </c>
      <c r="E26" s="47" t="s">
        <v>59</v>
      </c>
      <c r="F26" s="47" t="s">
        <v>60</v>
      </c>
      <c r="G26" s="47"/>
      <c r="H26" s="58" t="s">
        <v>52</v>
      </c>
      <c r="I26" s="48">
        <v>37143</v>
      </c>
      <c r="J26" s="47">
        <v>33834</v>
      </c>
      <c r="K26" s="47" t="s">
        <v>61</v>
      </c>
      <c r="L26" s="47" t="str">
        <f>IF(10.91*0=0," ",TEXT(,ROUND((10.91*0*1),2)))</f>
        <v xml:space="preserve"> </v>
      </c>
      <c r="M26" s="47" t="s">
        <v>62</v>
      </c>
      <c r="N26" s="47" t="s">
        <v>63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0" t="s">
        <v>40</v>
      </c>
      <c r="AB26" s="50" t="s">
        <v>41</v>
      </c>
      <c r="AC26" s="50">
        <v>24538</v>
      </c>
      <c r="AD26" s="50">
        <v>17972</v>
      </c>
      <c r="AE26" s="50"/>
      <c r="AF26" s="51" t="s">
        <v>64</v>
      </c>
      <c r="AG26" s="50" t="s">
        <v>57</v>
      </c>
      <c r="AH26" s="50"/>
      <c r="AI26" s="50">
        <f>33834+727</f>
        <v>34561</v>
      </c>
    </row>
    <row r="27" spans="1:35" ht="105.6" x14ac:dyDescent="0.25">
      <c r="A27" s="44">
        <v>7</v>
      </c>
      <c r="B27" s="45" t="s">
        <v>65</v>
      </c>
      <c r="C27" s="46" t="str">
        <f t="shared" ca="1" si="0"/>
        <v xml:space="preserve">Разборка деревянных элементов конструкций крыш: мауэрлатов
100 м2 кровли
7476 руб. НР 71%=83%*0,85 от ФОТ (10529 руб.)
5475 руб.СП 52%=65%*0,8 от ФОТ (10529 руб.)
</v>
      </c>
      <c r="D27" s="44">
        <v>10.91</v>
      </c>
      <c r="E27" s="47" t="s">
        <v>66</v>
      </c>
      <c r="F27" s="47" t="s">
        <v>67</v>
      </c>
      <c r="G27" s="47"/>
      <c r="H27" s="58" t="s">
        <v>52</v>
      </c>
      <c r="I27" s="48">
        <v>12944</v>
      </c>
      <c r="J27" s="47">
        <v>9853</v>
      </c>
      <c r="K27" s="47" t="s">
        <v>68</v>
      </c>
      <c r="L27" s="47" t="str">
        <f>IF(10.91*0=0," ",TEXT(,ROUND((10.91*0*1),2)))</f>
        <v xml:space="preserve"> </v>
      </c>
      <c r="M27" s="47" t="s">
        <v>69</v>
      </c>
      <c r="N27" s="47" t="s">
        <v>70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 t="s">
        <v>40</v>
      </c>
      <c r="AB27" s="50" t="s">
        <v>41</v>
      </c>
      <c r="AC27" s="50">
        <v>7476</v>
      </c>
      <c r="AD27" s="50">
        <v>5475</v>
      </c>
      <c r="AE27" s="50"/>
      <c r="AF27" s="51" t="s">
        <v>71</v>
      </c>
      <c r="AG27" s="50" t="s">
        <v>57</v>
      </c>
      <c r="AH27" s="50"/>
      <c r="AI27" s="50">
        <f>9853+676</f>
        <v>10529</v>
      </c>
    </row>
    <row r="28" spans="1:35" ht="158.4" x14ac:dyDescent="0.25">
      <c r="A28" s="44">
        <v>8</v>
      </c>
      <c r="B28" s="45" t="s">
        <v>72</v>
      </c>
      <c r="C28" s="46" t="str">
        <f t="shared" ca="1" si="0"/>
        <v xml:space="preserve">Демонтаж ограждения кровель перилами 158,7/2,5*0,020635=1,3т
100 м ограждения
(Демонтаж (разборка) металлических конструкций ОЗП=0,7; ЭМ=0,7 к расх.; ЗПМ=0,7; МАТ=0 к расх.; ТЗ=0,7; ТЗМ=0,7)
1088 руб. НР 92%=120%*(0,85*0,9) от ФОТ (1183 руб.)
521 руб.СП 44%=65%*(0,8*0,85) от ФОТ (1183 руб.)
</v>
      </c>
      <c r="D28" s="44">
        <v>1.587</v>
      </c>
      <c r="E28" s="47" t="s">
        <v>73</v>
      </c>
      <c r="F28" s="47" t="s">
        <v>74</v>
      </c>
      <c r="G28" s="47"/>
      <c r="H28" s="58" t="s">
        <v>75</v>
      </c>
      <c r="I28" s="48">
        <v>1741</v>
      </c>
      <c r="J28" s="47">
        <v>1115</v>
      </c>
      <c r="K28" s="47" t="s">
        <v>76</v>
      </c>
      <c r="L28" s="47" t="str">
        <f>IF(1.587*0=0," ",TEXT(,ROUND((1.587*0*7.51),2)))</f>
        <v xml:space="preserve"> </v>
      </c>
      <c r="M28" s="47" t="s">
        <v>77</v>
      </c>
      <c r="N28" s="47" t="s">
        <v>78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 t="s">
        <v>79</v>
      </c>
      <c r="AB28" s="50" t="s">
        <v>80</v>
      </c>
      <c r="AC28" s="50">
        <v>1088</v>
      </c>
      <c r="AD28" s="50">
        <v>521</v>
      </c>
      <c r="AE28" s="50" t="s">
        <v>81</v>
      </c>
      <c r="AF28" s="51" t="s">
        <v>82</v>
      </c>
      <c r="AG28" s="50" t="s">
        <v>83</v>
      </c>
      <c r="AH28" s="50"/>
      <c r="AI28" s="50">
        <f>1115+68</f>
        <v>1183</v>
      </c>
    </row>
    <row r="29" spans="1:35" ht="158.4" x14ac:dyDescent="0.25">
      <c r="A29" s="44">
        <v>9</v>
      </c>
      <c r="B29" s="45" t="s">
        <v>84</v>
      </c>
      <c r="C29" s="46" t="str">
        <f t="shared" ca="1" si="0"/>
        <v xml:space="preserve">Демонтаж люков в перекрытиях, площадь проема до 2 м2 0,071*2=0,142 т
100 м2 проемов
(Демонтаж (разборка) сборных деревянных конструкций ОЗП=0,8; ЭМ=0,8 к расх.; ЗПМ=0,8; МАТ=0 к расх.; ТЗ=0,8; ТЗМ=0,8)
213 руб. НР 90%=118%*(0,85*0,9) от ФОТ (237 руб.)
102 руб.СП 43%=63%*(0,8*0,85) от ФОТ (237 руб.)
</v>
      </c>
      <c r="D29" s="44">
        <v>1.44E-2</v>
      </c>
      <c r="E29" s="47" t="s">
        <v>85</v>
      </c>
      <c r="F29" s="47" t="s">
        <v>86</v>
      </c>
      <c r="G29" s="47"/>
      <c r="H29" s="58" t="s">
        <v>87</v>
      </c>
      <c r="I29" s="48">
        <v>346</v>
      </c>
      <c r="J29" s="47">
        <v>203</v>
      </c>
      <c r="K29" s="47" t="s">
        <v>88</v>
      </c>
      <c r="L29" s="47" t="str">
        <f>IF(0.0144*0=0," ",TEXT(,ROUND((0.0144*0*8.18),2)))</f>
        <v xml:space="preserve"> </v>
      </c>
      <c r="M29" s="47" t="s">
        <v>89</v>
      </c>
      <c r="N29" s="47" t="s">
        <v>90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 t="s">
        <v>91</v>
      </c>
      <c r="AB29" s="50" t="s">
        <v>92</v>
      </c>
      <c r="AC29" s="50">
        <v>213</v>
      </c>
      <c r="AD29" s="50">
        <v>102</v>
      </c>
      <c r="AE29" s="50" t="s">
        <v>93</v>
      </c>
      <c r="AF29" s="51" t="s">
        <v>94</v>
      </c>
      <c r="AG29" s="50" t="s">
        <v>95</v>
      </c>
      <c r="AH29" s="50"/>
      <c r="AI29" s="50">
        <f>203+34</f>
        <v>237</v>
      </c>
    </row>
    <row r="30" spans="1:35" ht="171.6" x14ac:dyDescent="0.25">
      <c r="A30" s="44">
        <v>10</v>
      </c>
      <c r="B30" s="45" t="s">
        <v>96</v>
      </c>
      <c r="C30" s="46" t="str">
        <f t="shared" ca="1" si="0"/>
        <v xml:space="preserve">Разборка стен приямков и каналов 7,86*1,8=14,15 т
1 м3 кладки
(Демонтаж (разборка) сборных бетонных и железобетонных конструкций ОЗП=0,8; ЭМ=0,8 к расх.; ЗПМ=0,8; МАТ=0 к расх.; ТЗ=0,8; ТЗМ=0,8)
6303 руб. НР 93%=122%*(0,85*0,9) от ФОТ (6777 руб.)
3660 руб.СП 54%=80%*(0,8*0,85) от ФОТ (6777 руб.)
</v>
      </c>
      <c r="D30" s="44">
        <v>7.86</v>
      </c>
      <c r="E30" s="47" t="s">
        <v>97</v>
      </c>
      <c r="F30" s="47" t="s">
        <v>98</v>
      </c>
      <c r="G30" s="47"/>
      <c r="H30" s="58" t="s">
        <v>99</v>
      </c>
      <c r="I30" s="48">
        <v>8628</v>
      </c>
      <c r="J30" s="47">
        <v>6253</v>
      </c>
      <c r="K30" s="47" t="s">
        <v>100</v>
      </c>
      <c r="L30" s="47" t="str">
        <f>IF(7.86*0=0," ",TEXT(,ROUND((7.86*0*4.7),2)))</f>
        <v xml:space="preserve"> </v>
      </c>
      <c r="M30" s="47" t="s">
        <v>101</v>
      </c>
      <c r="N30" s="47" t="s">
        <v>102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 t="s">
        <v>103</v>
      </c>
      <c r="AB30" s="50" t="s">
        <v>104</v>
      </c>
      <c r="AC30" s="50">
        <v>6303</v>
      </c>
      <c r="AD30" s="50">
        <v>3660</v>
      </c>
      <c r="AE30" s="50" t="s">
        <v>105</v>
      </c>
      <c r="AF30" s="51" t="s">
        <v>106</v>
      </c>
      <c r="AG30" s="50" t="s">
        <v>107</v>
      </c>
      <c r="AH30" s="50"/>
      <c r="AI30" s="50">
        <f>6253+524</f>
        <v>6777</v>
      </c>
    </row>
    <row r="31" spans="1:35" ht="105.6" x14ac:dyDescent="0.25">
      <c r="A31" s="44">
        <v>11</v>
      </c>
      <c r="B31" s="45" t="s">
        <v>108</v>
      </c>
      <c r="C31" s="46" t="str">
        <f t="shared" ca="1" si="0"/>
        <v xml:space="preserve">Очистка помещений от строительного мусора 156,9*0,6=94,14 т
100 т мусора
16319 руб. НР 66%=78%*0,85 от ФОТ (24725 руб.)
9890 руб.СП 40%=50%*0,8 от ФОТ (24725 руб.)
</v>
      </c>
      <c r="D31" s="44">
        <v>0.94140000000000001</v>
      </c>
      <c r="E31" s="47" t="s">
        <v>109</v>
      </c>
      <c r="F31" s="47"/>
      <c r="G31" s="47"/>
      <c r="H31" s="58" t="s">
        <v>110</v>
      </c>
      <c r="I31" s="48">
        <v>24725</v>
      </c>
      <c r="J31" s="47">
        <v>24725</v>
      </c>
      <c r="K31" s="47"/>
      <c r="L31" s="47" t="str">
        <f>IF(0.9414*0=0," ",TEXT(,ROUND((0.9414*0*1),2)))</f>
        <v xml:space="preserve"> </v>
      </c>
      <c r="M31" s="47">
        <v>214.32</v>
      </c>
      <c r="N31" s="47">
        <v>201.76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 t="s">
        <v>111</v>
      </c>
      <c r="AB31" s="50" t="s">
        <v>112</v>
      </c>
      <c r="AC31" s="50">
        <v>16319</v>
      </c>
      <c r="AD31" s="50">
        <v>9890</v>
      </c>
      <c r="AE31" s="50"/>
      <c r="AF31" s="51" t="s">
        <v>113</v>
      </c>
      <c r="AG31" s="50" t="s">
        <v>114</v>
      </c>
      <c r="AH31" s="50"/>
      <c r="AI31" s="50">
        <f>24725+0</f>
        <v>24725</v>
      </c>
    </row>
    <row r="32" spans="1:35" ht="79.2" x14ac:dyDescent="0.25">
      <c r="A32" s="52">
        <v>12</v>
      </c>
      <c r="B32" s="53" t="s">
        <v>115</v>
      </c>
      <c r="C32" s="54" t="str">
        <f t="shared" ca="1" si="0"/>
        <v xml:space="preserve">Прочистка вентиляционных каналов
100 м канала
2172 руб. НР 63%=74%*0,85 от ФОТ (3448 руб.)
1379 руб.СП 40%=50%*0,8 от ФОТ (3448 руб.)
</v>
      </c>
      <c r="D32" s="52">
        <v>1.28</v>
      </c>
      <c r="E32" s="55" t="s">
        <v>116</v>
      </c>
      <c r="F32" s="55" t="s">
        <v>117</v>
      </c>
      <c r="G32" s="55">
        <v>29.24</v>
      </c>
      <c r="H32" s="56" t="s">
        <v>118</v>
      </c>
      <c r="I32" s="57">
        <v>3632</v>
      </c>
      <c r="J32" s="55">
        <v>3448</v>
      </c>
      <c r="K32" s="55"/>
      <c r="L32" s="55" t="str">
        <f>IF(1.28*29.24=0," ",TEXT(,ROUND((1.28*29.24*4.96),2)))</f>
        <v>185,64</v>
      </c>
      <c r="M32" s="55" t="s">
        <v>119</v>
      </c>
      <c r="N32" s="55" t="s">
        <v>120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 t="s">
        <v>121</v>
      </c>
      <c r="AB32" s="50" t="s">
        <v>112</v>
      </c>
      <c r="AC32" s="50">
        <v>2172</v>
      </c>
      <c r="AD32" s="50">
        <v>1379</v>
      </c>
      <c r="AE32" s="50"/>
      <c r="AF32" s="51" t="s">
        <v>122</v>
      </c>
      <c r="AG32" s="50" t="s">
        <v>123</v>
      </c>
      <c r="AH32" s="50"/>
      <c r="AI32" s="50">
        <f>3448+0</f>
        <v>3448</v>
      </c>
    </row>
    <row r="33" spans="1:35" ht="26.4" x14ac:dyDescent="0.25">
      <c r="A33" s="70" t="s">
        <v>124</v>
      </c>
      <c r="B33" s="65"/>
      <c r="C33" s="65"/>
      <c r="D33" s="65"/>
      <c r="E33" s="65"/>
      <c r="F33" s="65"/>
      <c r="G33" s="65"/>
      <c r="H33" s="65"/>
      <c r="I33" s="48">
        <v>9127</v>
      </c>
      <c r="J33" s="47">
        <v>7513</v>
      </c>
      <c r="K33" s="47" t="s">
        <v>125</v>
      </c>
      <c r="L33" s="47">
        <v>37</v>
      </c>
      <c r="M33" s="47"/>
      <c r="N33" s="47" t="s">
        <v>126</v>
      </c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F33" s="4"/>
    </row>
    <row r="34" spans="1:35" ht="26.4" x14ac:dyDescent="0.25">
      <c r="A34" s="70" t="s">
        <v>127</v>
      </c>
      <c r="B34" s="65"/>
      <c r="C34" s="65"/>
      <c r="D34" s="65"/>
      <c r="E34" s="65"/>
      <c r="F34" s="65"/>
      <c r="G34" s="65"/>
      <c r="H34" s="65"/>
      <c r="I34" s="48">
        <v>142995</v>
      </c>
      <c r="J34" s="47">
        <v>126971</v>
      </c>
      <c r="K34" s="47" t="s">
        <v>128</v>
      </c>
      <c r="L34" s="47">
        <v>184</v>
      </c>
      <c r="M34" s="47"/>
      <c r="N34" s="47" t="s">
        <v>126</v>
      </c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F34" s="4"/>
    </row>
    <row r="35" spans="1:35" x14ac:dyDescent="0.25">
      <c r="A35" s="70" t="s">
        <v>129</v>
      </c>
      <c r="B35" s="65"/>
      <c r="C35" s="65"/>
      <c r="D35" s="65"/>
      <c r="E35" s="65"/>
      <c r="F35" s="65"/>
      <c r="G35" s="65"/>
      <c r="H35" s="65"/>
      <c r="I35" s="48">
        <v>95820</v>
      </c>
      <c r="J35" s="47"/>
      <c r="K35" s="47"/>
      <c r="L35" s="47"/>
      <c r="M35" s="47"/>
      <c r="N35" s="47"/>
      <c r="O35" s="17"/>
      <c r="P35" s="18"/>
      <c r="Q35" s="17"/>
      <c r="R35" s="17"/>
      <c r="S35" s="17"/>
      <c r="T35" s="39"/>
      <c r="U35" s="39"/>
      <c r="V35" s="39"/>
      <c r="W35" s="39"/>
      <c r="X35" s="39"/>
      <c r="Y35" s="39"/>
      <c r="Z35" s="39"/>
    </row>
    <row r="36" spans="1:35" x14ac:dyDescent="0.25">
      <c r="A36" s="70" t="s">
        <v>130</v>
      </c>
      <c r="B36" s="65"/>
      <c r="C36" s="65"/>
      <c r="D36" s="65"/>
      <c r="E36" s="65"/>
      <c r="F36" s="65"/>
      <c r="G36" s="65"/>
      <c r="H36" s="65"/>
      <c r="I36" s="48">
        <v>63350</v>
      </c>
      <c r="J36" s="47"/>
      <c r="K36" s="47"/>
      <c r="L36" s="47"/>
      <c r="M36" s="47"/>
      <c r="N36" s="47"/>
      <c r="O36" s="17"/>
      <c r="P36" s="18"/>
      <c r="Q36" s="17"/>
      <c r="R36" s="17"/>
      <c r="S36" s="17"/>
    </row>
    <row r="37" spans="1:35" ht="26.4" x14ac:dyDescent="0.25">
      <c r="A37" s="71" t="s">
        <v>131</v>
      </c>
      <c r="B37" s="72"/>
      <c r="C37" s="72"/>
      <c r="D37" s="72"/>
      <c r="E37" s="72"/>
      <c r="F37" s="72"/>
      <c r="G37" s="72"/>
      <c r="H37" s="72"/>
      <c r="I37" s="59">
        <v>302165</v>
      </c>
      <c r="J37" s="60"/>
      <c r="K37" s="60"/>
      <c r="L37" s="60"/>
      <c r="M37" s="60"/>
      <c r="N37" s="60" t="s">
        <v>126</v>
      </c>
      <c r="O37" s="17"/>
      <c r="P37" s="18"/>
      <c r="Q37" s="17"/>
      <c r="R37" s="17"/>
      <c r="S37" s="17"/>
    </row>
    <row r="38" spans="1:35" ht="21" customHeight="1" x14ac:dyDescent="0.25">
      <c r="A38" s="68" t="s">
        <v>132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1:35" ht="118.8" x14ac:dyDescent="0.25">
      <c r="A39" s="44">
        <v>13</v>
      </c>
      <c r="B39" s="45" t="s">
        <v>133</v>
      </c>
      <c r="C39" s="46" t="str">
        <f t="shared" ref="C39:C66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из кирпича: столбов прямоугольных неармированных при высоте этажа до 4 м
1 м3 кладки
9949 руб. НР 93%=122%*(0,85*0,9) от ФОТ (10698 руб.)
5777 руб.СП 54%=80%*(0,8*0,85) от ФОТ (10698 руб.)
</v>
      </c>
      <c r="D39" s="44">
        <v>6.82</v>
      </c>
      <c r="E39" s="47" t="s">
        <v>134</v>
      </c>
      <c r="F39" s="47" t="s">
        <v>135</v>
      </c>
      <c r="G39" s="47">
        <v>822.65</v>
      </c>
      <c r="H39" s="58" t="s">
        <v>136</v>
      </c>
      <c r="I39" s="48">
        <v>39861</v>
      </c>
      <c r="J39" s="47">
        <v>9870</v>
      </c>
      <c r="K39" s="47" t="s">
        <v>137</v>
      </c>
      <c r="L39" s="47" t="str">
        <f>IF(6.82*822.65=0," ",TEXT(,ROUND((6.82*822.65*4.68),2)))</f>
        <v>26257,01</v>
      </c>
      <c r="M39" s="47" t="s">
        <v>138</v>
      </c>
      <c r="N39" s="47" t="s">
        <v>139</v>
      </c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 t="s">
        <v>103</v>
      </c>
      <c r="AB39" s="50" t="s">
        <v>104</v>
      </c>
      <c r="AC39" s="50">
        <v>9949</v>
      </c>
      <c r="AD39" s="50">
        <v>5777</v>
      </c>
      <c r="AE39" s="50"/>
      <c r="AF39" s="50" t="s">
        <v>140</v>
      </c>
      <c r="AG39" s="50" t="s">
        <v>107</v>
      </c>
      <c r="AH39" s="50"/>
      <c r="AI39" s="50">
        <f>9870+828</f>
        <v>10698</v>
      </c>
    </row>
    <row r="40" spans="1:35" ht="92.4" x14ac:dyDescent="0.25">
      <c r="A40" s="44">
        <v>14</v>
      </c>
      <c r="B40" s="45" t="s">
        <v>141</v>
      </c>
      <c r="C40" s="46" t="str">
        <f t="shared" ca="1" si="1"/>
        <v xml:space="preserve">Устройство покрытия из рулонных материалов: насухо без промазки кромок
100 м2 кровли
3756 руб. НР 71%=83%*0,85 от ФОТ (5290 руб.)
2751 руб.СП 52%=65%*0,8 от ФОТ (5290 руб.)
</v>
      </c>
      <c r="D40" s="44">
        <v>8.6430000000000007</v>
      </c>
      <c r="E40" s="47" t="s">
        <v>142</v>
      </c>
      <c r="F40" s="47">
        <v>5.23</v>
      </c>
      <c r="G40" s="47">
        <v>883.33</v>
      </c>
      <c r="H40" s="58" t="s">
        <v>143</v>
      </c>
      <c r="I40" s="48">
        <v>44073</v>
      </c>
      <c r="J40" s="47">
        <v>5290</v>
      </c>
      <c r="K40" s="47">
        <v>532</v>
      </c>
      <c r="L40" s="47" t="str">
        <f>IF(8.643*883.33=0," ",TEXT(,ROUND((8.643*883.33*5.01),2)))</f>
        <v>38249,45</v>
      </c>
      <c r="M40" s="47">
        <v>4.5199999999999996</v>
      </c>
      <c r="N40" s="47">
        <v>39.07</v>
      </c>
      <c r="O40" s="49"/>
      <c r="P40" s="49"/>
      <c r="Q40" s="49"/>
      <c r="R40" s="49"/>
      <c r="S40" s="49"/>
      <c r="T40" s="50"/>
      <c r="U40" s="50"/>
      <c r="V40" s="50"/>
      <c r="W40" s="50"/>
      <c r="X40" s="50"/>
      <c r="Y40" s="50"/>
      <c r="Z40" s="50"/>
      <c r="AA40" s="50" t="s">
        <v>40</v>
      </c>
      <c r="AB40" s="50" t="s">
        <v>41</v>
      </c>
      <c r="AC40" s="50">
        <v>3756</v>
      </c>
      <c r="AD40" s="50">
        <v>2751</v>
      </c>
      <c r="AE40" s="50"/>
      <c r="AF40" s="50" t="s">
        <v>144</v>
      </c>
      <c r="AG40" s="50" t="s">
        <v>57</v>
      </c>
      <c r="AH40" s="50"/>
      <c r="AI40" s="50">
        <f>5290+0</f>
        <v>5290</v>
      </c>
    </row>
    <row r="41" spans="1:35" ht="66" x14ac:dyDescent="0.25">
      <c r="A41" s="44">
        <v>15</v>
      </c>
      <c r="B41" s="45" t="s">
        <v>145</v>
      </c>
      <c r="C41" s="46" t="str">
        <f t="shared" ca="1" si="1"/>
        <v xml:space="preserve">Рубероид кровельный с крупнозернистой посыпкой марки: РКК-350б
м2
</v>
      </c>
      <c r="D41" s="44">
        <v>-993.9</v>
      </c>
      <c r="E41" s="47">
        <v>7.46</v>
      </c>
      <c r="F41" s="47"/>
      <c r="G41" s="47">
        <v>7.46</v>
      </c>
      <c r="H41" s="58" t="s">
        <v>146</v>
      </c>
      <c r="I41" s="48">
        <v>-37100</v>
      </c>
      <c r="J41" s="47"/>
      <c r="K41" s="47"/>
      <c r="L41" s="47" t="str">
        <f>IF(-993.9*7.46=0," ",TEXT(,ROUND((-993.9*7.46*5.004),2)))</f>
        <v>-37102,13</v>
      </c>
      <c r="M41" s="47"/>
      <c r="N41" s="47"/>
      <c r="O41" s="49"/>
      <c r="P41" s="49"/>
      <c r="Q41" s="49"/>
      <c r="R41" s="49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 t="s">
        <v>147</v>
      </c>
      <c r="AG41" s="50" t="s">
        <v>148</v>
      </c>
      <c r="AH41" s="50"/>
      <c r="AI41" s="50">
        <f>0+0</f>
        <v>0</v>
      </c>
    </row>
    <row r="42" spans="1:35" ht="66" x14ac:dyDescent="0.25">
      <c r="A42" s="44">
        <v>16</v>
      </c>
      <c r="B42" s="45" t="s">
        <v>149</v>
      </c>
      <c r="C42" s="46" t="str">
        <f t="shared" ca="1" si="1"/>
        <v xml:space="preserve">Изоспан: Двухслойная паропроницаемая мембрана марки В 14,62/5,56=2,63
м2
</v>
      </c>
      <c r="D42" s="44">
        <v>993.9</v>
      </c>
      <c r="E42" s="47">
        <v>2.63</v>
      </c>
      <c r="F42" s="47"/>
      <c r="G42" s="47">
        <v>2.63</v>
      </c>
      <c r="H42" s="58" t="s">
        <v>150</v>
      </c>
      <c r="I42" s="48">
        <v>14534</v>
      </c>
      <c r="J42" s="47"/>
      <c r="K42" s="47"/>
      <c r="L42" s="47" t="str">
        <f>IF(993.9*2.63=0," ",TEXT(,ROUND((993.9*2.63*5.56),2)))</f>
        <v>14533,6</v>
      </c>
      <c r="M42" s="47"/>
      <c r="N42" s="47"/>
      <c r="O42" s="49"/>
      <c r="P42" s="49"/>
      <c r="Q42" s="49"/>
      <c r="R42" s="49"/>
      <c r="S42" s="49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 t="s">
        <v>151</v>
      </c>
      <c r="AG42" s="50" t="s">
        <v>148</v>
      </c>
      <c r="AH42" s="50"/>
      <c r="AI42" s="50">
        <f>0+0</f>
        <v>0</v>
      </c>
    </row>
    <row r="43" spans="1:35" ht="118.8" x14ac:dyDescent="0.25">
      <c r="A43" s="44">
        <v>17</v>
      </c>
      <c r="B43" s="45" t="s">
        <v>152</v>
      </c>
      <c r="C43" s="46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61897 руб. НР 92%=120%*(0,85*0,9) от ФОТ (67279 руб.)
29603 руб.СП 44%=65%*(0,8*0,85) от ФОТ (67279 руб.)
</v>
      </c>
      <c r="D43" s="44">
        <v>7.8449999999999998</v>
      </c>
      <c r="E43" s="47" t="s">
        <v>153</v>
      </c>
      <c r="F43" s="47" t="s">
        <v>154</v>
      </c>
      <c r="G43" s="47">
        <v>4146.24</v>
      </c>
      <c r="H43" s="58" t="s">
        <v>155</v>
      </c>
      <c r="I43" s="48">
        <v>297152</v>
      </c>
      <c r="J43" s="47">
        <v>66045</v>
      </c>
      <c r="K43" s="47" t="s">
        <v>156</v>
      </c>
      <c r="L43" s="47" t="str">
        <f>IF(7.845*4146.24=0," ",TEXT(,ROUND((7.845*4146.24*6.74),2)))</f>
        <v>219233,68</v>
      </c>
      <c r="M43" s="47" t="s">
        <v>157</v>
      </c>
      <c r="N43" s="47" t="s">
        <v>158</v>
      </c>
      <c r="O43" s="49"/>
      <c r="P43" s="49"/>
      <c r="Q43" s="49"/>
      <c r="R43" s="49"/>
      <c r="S43" s="49"/>
      <c r="T43" s="50"/>
      <c r="U43" s="50"/>
      <c r="V43" s="50"/>
      <c r="W43" s="50"/>
      <c r="X43" s="50"/>
      <c r="Y43" s="50"/>
      <c r="Z43" s="50"/>
      <c r="AA43" s="50" t="s">
        <v>79</v>
      </c>
      <c r="AB43" s="50" t="s">
        <v>80</v>
      </c>
      <c r="AC43" s="50">
        <v>61897</v>
      </c>
      <c r="AD43" s="50">
        <v>29603</v>
      </c>
      <c r="AE43" s="50"/>
      <c r="AF43" s="50" t="s">
        <v>159</v>
      </c>
      <c r="AG43" s="50" t="s">
        <v>160</v>
      </c>
      <c r="AH43" s="50"/>
      <c r="AI43" s="50">
        <f>66045+1234</f>
        <v>67279</v>
      </c>
    </row>
    <row r="44" spans="1:35" ht="52.8" x14ac:dyDescent="0.25">
      <c r="A44" s="44">
        <v>18</v>
      </c>
      <c r="B44" s="45" t="s">
        <v>161</v>
      </c>
      <c r="C44" s="46" t="str">
        <f t="shared" ca="1" si="1"/>
        <v xml:space="preserve">Котлы битумные передвижные 400 л
маш.-ч
</v>
      </c>
      <c r="D44" s="44">
        <v>-18.04</v>
      </c>
      <c r="E44" s="47">
        <v>30</v>
      </c>
      <c r="F44" s="47">
        <v>30</v>
      </c>
      <c r="G44" s="47"/>
      <c r="H44" s="58" t="s">
        <v>162</v>
      </c>
      <c r="I44" s="48">
        <v>-3681</v>
      </c>
      <c r="J44" s="47"/>
      <c r="K44" s="47">
        <v>-3681</v>
      </c>
      <c r="L44" s="47" t="str">
        <f>IF(-18.04*0=0," ",TEXT(,ROUND((-18.04*0*1),2)))</f>
        <v xml:space="preserve"> </v>
      </c>
      <c r="M44" s="47"/>
      <c r="N44" s="47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 t="s">
        <v>163</v>
      </c>
      <c r="AB44" s="50" t="s">
        <v>164</v>
      </c>
      <c r="AC44" s="50"/>
      <c r="AD44" s="50"/>
      <c r="AE44" s="50"/>
      <c r="AF44" s="50" t="s">
        <v>165</v>
      </c>
      <c r="AG44" s="50" t="s">
        <v>166</v>
      </c>
      <c r="AH44" s="50"/>
      <c r="AI44" s="50">
        <f>0+0</f>
        <v>0</v>
      </c>
    </row>
    <row r="45" spans="1:35" ht="66" x14ac:dyDescent="0.25">
      <c r="A45" s="44">
        <v>19</v>
      </c>
      <c r="B45" s="45" t="s">
        <v>167</v>
      </c>
      <c r="C45" s="46" t="str">
        <f t="shared" ca="1" si="1"/>
        <v xml:space="preserve">Битумы нефтяные строительные кровельные марки БНК-45/190, БНК-45/180
т
</v>
      </c>
      <c r="D45" s="44">
        <v>-0.1961</v>
      </c>
      <c r="E45" s="47">
        <v>1530</v>
      </c>
      <c r="F45" s="47"/>
      <c r="G45" s="47">
        <v>1530</v>
      </c>
      <c r="H45" s="58" t="s">
        <v>168</v>
      </c>
      <c r="I45" s="48">
        <v>-3983</v>
      </c>
      <c r="J45" s="47"/>
      <c r="K45" s="47"/>
      <c r="L45" s="47" t="str">
        <f>IF(-0.1961*1530=0," ",TEXT(,ROUND((-0.1961*1530*13.277),2)))</f>
        <v>-3983,54</v>
      </c>
      <c r="M45" s="47"/>
      <c r="N45" s="47"/>
      <c r="O45" s="49"/>
      <c r="P45" s="49"/>
      <c r="Q45" s="49"/>
      <c r="R45" s="49"/>
      <c r="S45" s="49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 t="s">
        <v>169</v>
      </c>
      <c r="AG45" s="50" t="s">
        <v>170</v>
      </c>
      <c r="AH45" s="50"/>
      <c r="AI45" s="50">
        <f>0+0</f>
        <v>0</v>
      </c>
    </row>
    <row r="46" spans="1:35" ht="52.8" x14ac:dyDescent="0.25">
      <c r="A46" s="44">
        <v>20</v>
      </c>
      <c r="B46" s="45" t="s">
        <v>171</v>
      </c>
      <c r="C46" s="46" t="str">
        <f t="shared" ca="1" si="1"/>
        <v xml:space="preserve">Керосин для технических целей марок КТ-1, КТ-2
т
</v>
      </c>
      <c r="D46" s="44">
        <v>-0.45500000000000002</v>
      </c>
      <c r="E46" s="47">
        <v>2606.9</v>
      </c>
      <c r="F46" s="47"/>
      <c r="G46" s="47">
        <v>2606.9</v>
      </c>
      <c r="H46" s="58" t="s">
        <v>172</v>
      </c>
      <c r="I46" s="48">
        <v>-18905</v>
      </c>
      <c r="J46" s="47"/>
      <c r="K46" s="47"/>
      <c r="L46" s="47" t="str">
        <f>IF(-0.455*2606.9=0," ",TEXT(,ROUND((-0.455*2606.9*15.94),2)))</f>
        <v>-18907,06</v>
      </c>
      <c r="M46" s="47"/>
      <c r="N46" s="47"/>
      <c r="O46" s="49"/>
      <c r="P46" s="49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 t="s">
        <v>173</v>
      </c>
      <c r="AG46" s="50" t="s">
        <v>170</v>
      </c>
      <c r="AH46" s="50"/>
      <c r="AI46" s="50">
        <f>0+0</f>
        <v>0</v>
      </c>
    </row>
    <row r="47" spans="1:35" ht="52.8" x14ac:dyDescent="0.25">
      <c r="A47" s="44">
        <v>21</v>
      </c>
      <c r="B47" s="45" t="s">
        <v>174</v>
      </c>
      <c r="C47" s="46" t="str">
        <f t="shared" ca="1" si="1"/>
        <v xml:space="preserve">Мастика битумная кровельная горячая
т
</v>
      </c>
      <c r="D47" s="44">
        <v>-1.577</v>
      </c>
      <c r="E47" s="47">
        <v>3390</v>
      </c>
      <c r="F47" s="47"/>
      <c r="G47" s="47">
        <v>3390</v>
      </c>
      <c r="H47" s="58" t="s">
        <v>175</v>
      </c>
      <c r="I47" s="48">
        <v>-54353</v>
      </c>
      <c r="J47" s="47"/>
      <c r="K47" s="47"/>
      <c r="L47" s="47" t="str">
        <f>IF(-1.577*3390=0," ",TEXT(,ROUND((-1.577*3390*10.167),2)))</f>
        <v>-54353,09</v>
      </c>
      <c r="M47" s="47"/>
      <c r="N47" s="47"/>
      <c r="O47" s="49"/>
      <c r="P47" s="49"/>
      <c r="Q47" s="49"/>
      <c r="R47" s="49"/>
      <c r="S47" s="49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 t="s">
        <v>176</v>
      </c>
      <c r="AG47" s="50" t="s">
        <v>170</v>
      </c>
      <c r="AH47" s="50"/>
      <c r="AI47" s="50">
        <f>0+0</f>
        <v>0</v>
      </c>
    </row>
    <row r="48" spans="1:35" ht="66" x14ac:dyDescent="0.25">
      <c r="A48" s="44">
        <v>22</v>
      </c>
      <c r="B48" s="45" t="s">
        <v>177</v>
      </c>
      <c r="C48" s="46" t="str">
        <f t="shared" ca="1" si="1"/>
        <v xml:space="preserve">Плиты из минеральной ваты на синтетическом связующем М-125 (ГОСТ 9573-96)
м3
</v>
      </c>
      <c r="D48" s="44">
        <v>-48.48</v>
      </c>
      <c r="E48" s="47">
        <v>530</v>
      </c>
      <c r="F48" s="47"/>
      <c r="G48" s="47">
        <v>530</v>
      </c>
      <c r="H48" s="58" t="s">
        <v>178</v>
      </c>
      <c r="I48" s="48">
        <v>-148306</v>
      </c>
      <c r="J48" s="47"/>
      <c r="K48" s="47"/>
      <c r="L48" s="47" t="str">
        <f>IF(-48.48*530=0," ",TEXT(,ROUND((-48.48*530*5.772),2)))</f>
        <v>-148308,08</v>
      </c>
      <c r="M48" s="47"/>
      <c r="N48" s="47"/>
      <c r="O48" s="49"/>
      <c r="P48" s="49"/>
      <c r="Q48" s="49"/>
      <c r="R48" s="49"/>
      <c r="S48" s="49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 t="s">
        <v>179</v>
      </c>
      <c r="AG48" s="50" t="s">
        <v>180</v>
      </c>
      <c r="AH48" s="50"/>
      <c r="AI48" s="50">
        <f>0+0</f>
        <v>0</v>
      </c>
    </row>
    <row r="49" spans="1:35" ht="158.4" x14ac:dyDescent="0.25">
      <c r="A49" s="44">
        <v>23</v>
      </c>
      <c r="B49" s="45" t="s">
        <v>181</v>
      </c>
      <c r="C49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250 мм ПЗ=4 (ОЗП=4; ЭМ=4 к расх.; ЗПМ=4; МАТ=4 к расх.; ТЗ=4; ТЗМ=4))
192655 руб. НР 92%=120%*(0,85*0,9) от ФОТ (209408 руб.)
92140 руб.СП 44%=65%*(0,8*0,85) от ФОТ (209408 руб.)
</v>
      </c>
      <c r="D49" s="44">
        <v>7.8449999999999998</v>
      </c>
      <c r="E49" s="47" t="s">
        <v>182</v>
      </c>
      <c r="F49" s="47" t="s">
        <v>183</v>
      </c>
      <c r="G49" s="47">
        <v>15827.16</v>
      </c>
      <c r="H49" s="58" t="s">
        <v>155</v>
      </c>
      <c r="I49" s="48">
        <v>1086777</v>
      </c>
      <c r="J49" s="47">
        <v>204490</v>
      </c>
      <c r="K49" s="47" t="s">
        <v>184</v>
      </c>
      <c r="L49" s="47" t="str">
        <f>IF(7.845*15827.16=0," ",TEXT(,ROUND((7.845*15827.16*6.74),2)))</f>
        <v>836865,83</v>
      </c>
      <c r="M49" s="47" t="s">
        <v>185</v>
      </c>
      <c r="N49" s="47" t="s">
        <v>186</v>
      </c>
      <c r="O49" s="49"/>
      <c r="P49" s="49"/>
      <c r="Q49" s="49"/>
      <c r="R49" s="49"/>
      <c r="S49" s="49"/>
      <c r="T49" s="50"/>
      <c r="U49" s="50"/>
      <c r="V49" s="50"/>
      <c r="W49" s="50"/>
      <c r="X49" s="50"/>
      <c r="Y49" s="50"/>
      <c r="Z49" s="50"/>
      <c r="AA49" s="50" t="s">
        <v>79</v>
      </c>
      <c r="AB49" s="50" t="s">
        <v>80</v>
      </c>
      <c r="AC49" s="50">
        <v>192655</v>
      </c>
      <c r="AD49" s="50">
        <v>92140</v>
      </c>
      <c r="AE49" s="50" t="s">
        <v>187</v>
      </c>
      <c r="AF49" s="50" t="s">
        <v>188</v>
      </c>
      <c r="AG49" s="50" t="s">
        <v>160</v>
      </c>
      <c r="AH49" s="50"/>
      <c r="AI49" s="50">
        <f>204490+4918</f>
        <v>209408</v>
      </c>
    </row>
    <row r="50" spans="1:35" ht="52.8" x14ac:dyDescent="0.25">
      <c r="A50" s="44">
        <v>24</v>
      </c>
      <c r="B50" s="45" t="s">
        <v>161</v>
      </c>
      <c r="C50" s="46" t="str">
        <f t="shared" ca="1" si="1"/>
        <v xml:space="preserve">Котлы битумные передвижные 400 л
маш.-ч
</v>
      </c>
      <c r="D50" s="44">
        <v>-64.73</v>
      </c>
      <c r="E50" s="47">
        <v>30</v>
      </c>
      <c r="F50" s="47">
        <v>30</v>
      </c>
      <c r="G50" s="47"/>
      <c r="H50" s="58" t="s">
        <v>162</v>
      </c>
      <c r="I50" s="48">
        <v>-13223</v>
      </c>
      <c r="J50" s="47"/>
      <c r="K50" s="47">
        <v>-13223</v>
      </c>
      <c r="L50" s="47" t="str">
        <f>IF(-64.73*0=0," ",TEXT(,ROUND((-64.73*0*1),2)))</f>
        <v xml:space="preserve"> </v>
      </c>
      <c r="M50" s="47"/>
      <c r="N50" s="47"/>
      <c r="O50" s="49"/>
      <c r="P50" s="49"/>
      <c r="Q50" s="49"/>
      <c r="R50" s="49"/>
      <c r="S50" s="49"/>
      <c r="T50" s="50"/>
      <c r="U50" s="50"/>
      <c r="V50" s="50"/>
      <c r="W50" s="50"/>
      <c r="X50" s="50"/>
      <c r="Y50" s="50"/>
      <c r="Z50" s="50"/>
      <c r="AA50" s="50" t="s">
        <v>163</v>
      </c>
      <c r="AB50" s="50" t="s">
        <v>164</v>
      </c>
      <c r="AC50" s="50"/>
      <c r="AD50" s="50"/>
      <c r="AE50" s="50"/>
      <c r="AF50" s="50" t="s">
        <v>165</v>
      </c>
      <c r="AG50" s="50" t="s">
        <v>166</v>
      </c>
      <c r="AH50" s="50"/>
      <c r="AI50" s="50">
        <f>0+0</f>
        <v>0</v>
      </c>
    </row>
    <row r="51" spans="1:35" ht="52.8" x14ac:dyDescent="0.25">
      <c r="A51" s="44">
        <v>25</v>
      </c>
      <c r="B51" s="45" t="s">
        <v>174</v>
      </c>
      <c r="C51" s="46" t="str">
        <f t="shared" ca="1" si="1"/>
        <v xml:space="preserve">Мастика битумная кровельная горячая
т
</v>
      </c>
      <c r="D51" s="44">
        <v>-6.3070000000000004</v>
      </c>
      <c r="E51" s="47">
        <v>3390</v>
      </c>
      <c r="F51" s="47"/>
      <c r="G51" s="47">
        <v>3390</v>
      </c>
      <c r="H51" s="58" t="s">
        <v>175</v>
      </c>
      <c r="I51" s="48">
        <v>-217381</v>
      </c>
      <c r="J51" s="47"/>
      <c r="K51" s="47"/>
      <c r="L51" s="47" t="str">
        <f>IF(-6.307*3390=0," ",TEXT(,ROUND((-6.307*3390*10.167),2)))</f>
        <v>-217377,88</v>
      </c>
      <c r="M51" s="47"/>
      <c r="N51" s="47"/>
      <c r="O51" s="49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 t="s">
        <v>176</v>
      </c>
      <c r="AG51" s="50" t="s">
        <v>170</v>
      </c>
      <c r="AH51" s="50"/>
      <c r="AI51" s="50">
        <f>0+0</f>
        <v>0</v>
      </c>
    </row>
    <row r="52" spans="1:35" ht="66" x14ac:dyDescent="0.25">
      <c r="A52" s="44">
        <v>26</v>
      </c>
      <c r="B52" s="45" t="s">
        <v>177</v>
      </c>
      <c r="C52" s="46" t="str">
        <f t="shared" ca="1" si="1"/>
        <v xml:space="preserve">Плиты из минеральной ваты на синтетическом связующем М-125 (ГОСТ 9573-96)
м3
</v>
      </c>
      <c r="D52" s="44">
        <v>-193.9</v>
      </c>
      <c r="E52" s="47">
        <v>530</v>
      </c>
      <c r="F52" s="47"/>
      <c r="G52" s="47">
        <v>530</v>
      </c>
      <c r="H52" s="58" t="s">
        <v>178</v>
      </c>
      <c r="I52" s="48">
        <v>-593171</v>
      </c>
      <c r="J52" s="47"/>
      <c r="K52" s="47"/>
      <c r="L52" s="47" t="str">
        <f>IF(-193.9*530=0," ",TEXT(,ROUND((-193.9*530*5.772),2)))</f>
        <v>-593171,12</v>
      </c>
      <c r="M52" s="47"/>
      <c r="N52" s="47"/>
      <c r="O52" s="49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 t="s">
        <v>179</v>
      </c>
      <c r="AG52" s="50" t="s">
        <v>180</v>
      </c>
      <c r="AH52" s="50"/>
      <c r="AI52" s="50">
        <f>0+0</f>
        <v>0</v>
      </c>
    </row>
    <row r="53" spans="1:35" ht="158.4" x14ac:dyDescent="0.25">
      <c r="A53" s="44">
        <v>27</v>
      </c>
      <c r="B53" s="45" t="s">
        <v>189</v>
      </c>
      <c r="C53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 2 слоя ПЗ=2 (ОЗП=2; ЭМ=2 к расх.; ЗПМ=2; МАТ=2 к расх.; ТЗ=2; ТЗМ=2))
19404 руб. НР 92%=120%*(0,85*0,9) от ФОТ (21091 руб.)
9280 руб.СП 44%=65%*(0,8*0,85) от ФОТ (21091 руб.)
</v>
      </c>
      <c r="D53" s="44">
        <v>1.58</v>
      </c>
      <c r="E53" s="47" t="s">
        <v>190</v>
      </c>
      <c r="F53" s="47" t="s">
        <v>191</v>
      </c>
      <c r="G53" s="47">
        <v>7913.58</v>
      </c>
      <c r="H53" s="58" t="s">
        <v>155</v>
      </c>
      <c r="I53" s="48">
        <v>109446</v>
      </c>
      <c r="J53" s="47">
        <v>20601</v>
      </c>
      <c r="K53" s="47" t="s">
        <v>192</v>
      </c>
      <c r="L53" s="47" t="str">
        <f>IF(1.58*7913.58=0," ",TEXT(,ROUND((1.58*7913.58*6.74),2)))</f>
        <v>84273,3</v>
      </c>
      <c r="M53" s="47" t="s">
        <v>193</v>
      </c>
      <c r="N53" s="47" t="s">
        <v>194</v>
      </c>
      <c r="O53" s="49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 t="s">
        <v>79</v>
      </c>
      <c r="AB53" s="50" t="s">
        <v>80</v>
      </c>
      <c r="AC53" s="50">
        <v>19404</v>
      </c>
      <c r="AD53" s="50">
        <v>9280</v>
      </c>
      <c r="AE53" s="50" t="s">
        <v>195</v>
      </c>
      <c r="AF53" s="50" t="s">
        <v>188</v>
      </c>
      <c r="AG53" s="50" t="s">
        <v>160</v>
      </c>
      <c r="AH53" s="50"/>
      <c r="AI53" s="50">
        <f>20601+490</f>
        <v>21091</v>
      </c>
    </row>
    <row r="54" spans="1:35" ht="52.8" x14ac:dyDescent="0.25">
      <c r="A54" s="44">
        <v>28</v>
      </c>
      <c r="B54" s="45" t="s">
        <v>161</v>
      </c>
      <c r="C54" s="46" t="str">
        <f t="shared" ca="1" si="1"/>
        <v xml:space="preserve">Котлы битумные передвижные 400 л
маш.-ч
</v>
      </c>
      <c r="D54" s="44">
        <v>-6.51</v>
      </c>
      <c r="E54" s="47">
        <v>30</v>
      </c>
      <c r="F54" s="47">
        <v>30</v>
      </c>
      <c r="G54" s="47"/>
      <c r="H54" s="58" t="s">
        <v>162</v>
      </c>
      <c r="I54" s="48">
        <v>-1329</v>
      </c>
      <c r="J54" s="47"/>
      <c r="K54" s="47">
        <v>-1329</v>
      </c>
      <c r="L54" s="47" t="str">
        <f>IF(-6.51*0=0," ",TEXT(,ROUND((-6.51*0*1),2)))</f>
        <v xml:space="preserve"> </v>
      </c>
      <c r="M54" s="47"/>
      <c r="N54" s="47"/>
      <c r="O54" s="49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 t="s">
        <v>163</v>
      </c>
      <c r="AB54" s="50" t="s">
        <v>164</v>
      </c>
      <c r="AC54" s="50"/>
      <c r="AD54" s="50"/>
      <c r="AE54" s="50"/>
      <c r="AF54" s="50" t="s">
        <v>165</v>
      </c>
      <c r="AG54" s="50" t="s">
        <v>166</v>
      </c>
      <c r="AH54" s="50"/>
      <c r="AI54" s="50">
        <f>0+0</f>
        <v>0</v>
      </c>
    </row>
    <row r="55" spans="1:35" ht="52.8" x14ac:dyDescent="0.25">
      <c r="A55" s="44">
        <v>29</v>
      </c>
      <c r="B55" s="45" t="s">
        <v>174</v>
      </c>
      <c r="C55" s="46" t="str">
        <f t="shared" ca="1" si="1"/>
        <v xml:space="preserve">Мастика битумная кровельная горячая
т
</v>
      </c>
      <c r="D55" s="44">
        <v>-0.63519999999999999</v>
      </c>
      <c r="E55" s="47">
        <v>3390</v>
      </c>
      <c r="F55" s="47"/>
      <c r="G55" s="47">
        <v>3390</v>
      </c>
      <c r="H55" s="58" t="s">
        <v>175</v>
      </c>
      <c r="I55" s="48">
        <v>-21890</v>
      </c>
      <c r="J55" s="47"/>
      <c r="K55" s="47"/>
      <c r="L55" s="47" t="str">
        <f>IF(-0.6352*3390=0," ",TEXT(,ROUND((-0.6352*3390*10.167),2)))</f>
        <v>-21892,89</v>
      </c>
      <c r="M55" s="47"/>
      <c r="N55" s="47"/>
      <c r="O55" s="49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 t="s">
        <v>176</v>
      </c>
      <c r="AG55" s="50" t="s">
        <v>170</v>
      </c>
      <c r="AH55" s="50"/>
      <c r="AI55" s="50">
        <f>0+0</f>
        <v>0</v>
      </c>
    </row>
    <row r="56" spans="1:35" ht="66" x14ac:dyDescent="0.25">
      <c r="A56" s="44">
        <v>30</v>
      </c>
      <c r="B56" s="45" t="s">
        <v>177</v>
      </c>
      <c r="C56" s="46" t="str">
        <f t="shared" ca="1" si="1"/>
        <v xml:space="preserve">Плиты из минеральной ваты на синтетическом связующем М-125 (ГОСТ 9573-96)
м3
</v>
      </c>
      <c r="D56" s="44">
        <v>-19.53</v>
      </c>
      <c r="E56" s="47">
        <v>530</v>
      </c>
      <c r="F56" s="47"/>
      <c r="G56" s="47">
        <v>530</v>
      </c>
      <c r="H56" s="58" t="s">
        <v>178</v>
      </c>
      <c r="I56" s="48">
        <v>-59746</v>
      </c>
      <c r="J56" s="47"/>
      <c r="K56" s="47"/>
      <c r="L56" s="47" t="str">
        <f>IF(-19.53*530=0," ",TEXT(,ROUND((-19.53*530*5.772),2)))</f>
        <v>-59745,39</v>
      </c>
      <c r="M56" s="47"/>
      <c r="N56" s="47"/>
      <c r="O56" s="49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 t="s">
        <v>179</v>
      </c>
      <c r="AG56" s="50" t="s">
        <v>180</v>
      </c>
      <c r="AH56" s="50"/>
      <c r="AI56" s="50">
        <f>0+0</f>
        <v>0</v>
      </c>
    </row>
    <row r="57" spans="1:35" ht="92.4" x14ac:dyDescent="0.25">
      <c r="A57" s="44">
        <v>31</v>
      </c>
      <c r="B57" s="45" t="s">
        <v>196</v>
      </c>
      <c r="C57" s="46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7" s="44">
        <v>261.91000000000003</v>
      </c>
      <c r="E57" s="47">
        <v>745.84</v>
      </c>
      <c r="F57" s="47"/>
      <c r="G57" s="47">
        <v>745.84</v>
      </c>
      <c r="H57" s="58" t="s">
        <v>150</v>
      </c>
      <c r="I57" s="48">
        <v>1086107</v>
      </c>
      <c r="J57" s="47"/>
      <c r="K57" s="47"/>
      <c r="L57" s="47" t="str">
        <f>IF(261.91*745.84=0," ",TEXT(,ROUND((261.91*745.84*5.56),2)))</f>
        <v>1086106,83</v>
      </c>
      <c r="M57" s="47"/>
      <c r="N57" s="47"/>
      <c r="O57" s="49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 t="s">
        <v>197</v>
      </c>
      <c r="AG57" s="50" t="s">
        <v>180</v>
      </c>
      <c r="AH57" s="50"/>
      <c r="AI57" s="50">
        <f>0+0</f>
        <v>0</v>
      </c>
    </row>
    <row r="58" spans="1:35" ht="92.4" x14ac:dyDescent="0.25">
      <c r="A58" s="44">
        <v>32</v>
      </c>
      <c r="B58" s="45" t="s">
        <v>141</v>
      </c>
      <c r="C58" s="46" t="str">
        <f t="shared" ca="1" si="1"/>
        <v xml:space="preserve">Устройство покрытия из рулонных материалов: насухо без промазки кромок
100 м2 кровли
3408 руб. НР 71%=83%*0,85 от ФОТ (4800 руб.)
2496 руб.СП 52%=65%*0,8 от ФОТ (4800 руб.)
</v>
      </c>
      <c r="D58" s="44">
        <v>7.8449999999999998</v>
      </c>
      <c r="E58" s="47" t="s">
        <v>142</v>
      </c>
      <c r="F58" s="47">
        <v>5.23</v>
      </c>
      <c r="G58" s="47">
        <v>883.33</v>
      </c>
      <c r="H58" s="58" t="s">
        <v>143</v>
      </c>
      <c r="I58" s="48">
        <v>40004</v>
      </c>
      <c r="J58" s="47">
        <v>4800</v>
      </c>
      <c r="K58" s="47">
        <v>485</v>
      </c>
      <c r="L58" s="47" t="str">
        <f>IF(7.845*883.33=0," ",TEXT(,ROUND((7.845*883.33*5.01),2)))</f>
        <v>34717,92</v>
      </c>
      <c r="M58" s="47">
        <v>4.5199999999999996</v>
      </c>
      <c r="N58" s="47">
        <v>35.46</v>
      </c>
      <c r="O58" s="49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 t="s">
        <v>40</v>
      </c>
      <c r="AB58" s="50" t="s">
        <v>41</v>
      </c>
      <c r="AC58" s="50">
        <v>3408</v>
      </c>
      <c r="AD58" s="50">
        <v>2496</v>
      </c>
      <c r="AE58" s="50"/>
      <c r="AF58" s="50" t="s">
        <v>144</v>
      </c>
      <c r="AG58" s="50" t="s">
        <v>57</v>
      </c>
      <c r="AH58" s="50"/>
      <c r="AI58" s="50">
        <f>4800+0</f>
        <v>4800</v>
      </c>
    </row>
    <row r="59" spans="1:35" ht="66" x14ac:dyDescent="0.25">
      <c r="A59" s="44">
        <v>33</v>
      </c>
      <c r="B59" s="45" t="s">
        <v>145</v>
      </c>
      <c r="C59" s="46" t="str">
        <f t="shared" ca="1" si="1"/>
        <v xml:space="preserve">Рубероид кровельный с крупнозернистой посыпкой марки: РКК-350б
м2
</v>
      </c>
      <c r="D59" s="44">
        <v>-902.2</v>
      </c>
      <c r="E59" s="47">
        <v>7.46</v>
      </c>
      <c r="F59" s="47"/>
      <c r="G59" s="47">
        <v>7.46</v>
      </c>
      <c r="H59" s="58" t="s">
        <v>146</v>
      </c>
      <c r="I59" s="48">
        <v>-33677</v>
      </c>
      <c r="J59" s="47"/>
      <c r="K59" s="47"/>
      <c r="L59" s="47" t="str">
        <f>IF(-902.2*7.46=0," ",TEXT(,ROUND((-902.2*7.46*5.004),2)))</f>
        <v>-33678,98</v>
      </c>
      <c r="M59" s="47"/>
      <c r="N59" s="47"/>
      <c r="O59" s="49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 t="s">
        <v>147</v>
      </c>
      <c r="AG59" s="50" t="s">
        <v>148</v>
      </c>
      <c r="AH59" s="50"/>
      <c r="AI59" s="50">
        <f>0+0</f>
        <v>0</v>
      </c>
    </row>
    <row r="60" spans="1:35" ht="66" x14ac:dyDescent="0.25">
      <c r="A60" s="44">
        <v>34</v>
      </c>
      <c r="B60" s="45" t="s">
        <v>198</v>
      </c>
      <c r="C60" s="46" t="str">
        <f t="shared" ca="1" si="1"/>
        <v xml:space="preserve">Изоспан: Защитный материал марки А 20,40/5,56=3,67
м2
</v>
      </c>
      <c r="D60" s="44">
        <v>902.2</v>
      </c>
      <c r="E60" s="47">
        <v>3.67</v>
      </c>
      <c r="F60" s="47"/>
      <c r="G60" s="47">
        <v>3.67</v>
      </c>
      <c r="H60" s="58" t="s">
        <v>150</v>
      </c>
      <c r="I60" s="48">
        <v>18409</v>
      </c>
      <c r="J60" s="47"/>
      <c r="K60" s="47"/>
      <c r="L60" s="47" t="str">
        <f>IF(902.2*3.67=0," ",TEXT(,ROUND((902.2*3.67*5.56),2)))</f>
        <v>18409,57</v>
      </c>
      <c r="M60" s="47"/>
      <c r="N60" s="47"/>
      <c r="O60" s="49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 t="s">
        <v>199</v>
      </c>
      <c r="AG60" s="50" t="s">
        <v>148</v>
      </c>
      <c r="AH60" s="50"/>
      <c r="AI60" s="50">
        <f>0+0</f>
        <v>0</v>
      </c>
    </row>
    <row r="61" spans="1:35" ht="105.6" x14ac:dyDescent="0.25">
      <c r="A61" s="44">
        <v>35</v>
      </c>
      <c r="B61" s="45" t="s">
        <v>200</v>
      </c>
      <c r="C61" s="46" t="str">
        <f t="shared" ca="1" si="1"/>
        <v xml:space="preserve">Укладка ходовых досок
100 м ходов
639 руб. НР 90%=118%*(0,85*0,9) от ФОТ (710 руб.)
305 руб.СП 43%=63%*(0,8*0,85) от ФОТ (710 руб.)
</v>
      </c>
      <c r="D61" s="44">
        <v>1.1299999999999999</v>
      </c>
      <c r="E61" s="47" t="s">
        <v>201</v>
      </c>
      <c r="F61" s="47" t="s">
        <v>202</v>
      </c>
      <c r="G61" s="47">
        <v>1007.15</v>
      </c>
      <c r="H61" s="58" t="s">
        <v>203</v>
      </c>
      <c r="I61" s="48">
        <v>6982</v>
      </c>
      <c r="J61" s="47">
        <v>693</v>
      </c>
      <c r="K61" s="47" t="s">
        <v>204</v>
      </c>
      <c r="L61" s="47" t="str">
        <f>IF(1.13*1007.15=0," ",TEXT(,ROUND((1.13*1007.15*5.35),2)))</f>
        <v>6088,73</v>
      </c>
      <c r="M61" s="47" t="s">
        <v>205</v>
      </c>
      <c r="N61" s="47" t="s">
        <v>206</v>
      </c>
      <c r="O61" s="49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 t="s">
        <v>91</v>
      </c>
      <c r="AB61" s="50" t="s">
        <v>92</v>
      </c>
      <c r="AC61" s="50">
        <v>639</v>
      </c>
      <c r="AD61" s="50">
        <v>305</v>
      </c>
      <c r="AE61" s="50"/>
      <c r="AF61" s="50" t="s">
        <v>207</v>
      </c>
      <c r="AG61" s="50" t="s">
        <v>208</v>
      </c>
      <c r="AH61" s="50"/>
      <c r="AI61" s="50">
        <f>693+17</f>
        <v>710</v>
      </c>
    </row>
    <row r="62" spans="1:35" ht="66" x14ac:dyDescent="0.25">
      <c r="A62" s="44">
        <v>36</v>
      </c>
      <c r="B62" s="45" t="s">
        <v>209</v>
      </c>
      <c r="C62" s="46" t="str">
        <f t="shared" ca="1" si="1"/>
        <v xml:space="preserve">Доски необрезные хвойных пород длиной: 4-6,5 м, все ширины, толщиной 32-40 мм, III сорта
м3
</v>
      </c>
      <c r="D62" s="44">
        <v>-1.3560000000000001</v>
      </c>
      <c r="E62" s="47">
        <v>832.7</v>
      </c>
      <c r="F62" s="47"/>
      <c r="G62" s="47">
        <v>832.7</v>
      </c>
      <c r="H62" s="58" t="s">
        <v>210</v>
      </c>
      <c r="I62" s="48">
        <v>-6056</v>
      </c>
      <c r="J62" s="47"/>
      <c r="K62" s="47"/>
      <c r="L62" s="47" t="str">
        <f>IF(-1.356*832.7=0," ",TEXT(,ROUND((-1.356*832.7*5.364),2)))</f>
        <v>-6056,71</v>
      </c>
      <c r="M62" s="47"/>
      <c r="N62" s="47"/>
      <c r="O62" s="49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 t="s">
        <v>211</v>
      </c>
      <c r="AG62" s="50" t="s">
        <v>180</v>
      </c>
      <c r="AH62" s="50"/>
      <c r="AI62" s="50">
        <f>0+0</f>
        <v>0</v>
      </c>
    </row>
    <row r="63" spans="1:35" ht="79.2" x14ac:dyDescent="0.25">
      <c r="A63" s="44">
        <v>37</v>
      </c>
      <c r="B63" s="45" t="s">
        <v>212</v>
      </c>
      <c r="C63" s="46" t="str">
        <f t="shared" ca="1" si="1"/>
        <v xml:space="preserve">Доски обрезные хвойных пород длиной: 4-6,5 м, шириной 75-150 мм, толщиной 44 мм и более, II сорта
м3
</v>
      </c>
      <c r="D63" s="44">
        <v>2.2599999999999998</v>
      </c>
      <c r="E63" s="47">
        <v>1320</v>
      </c>
      <c r="F63" s="47"/>
      <c r="G63" s="47">
        <v>1320</v>
      </c>
      <c r="H63" s="58" t="s">
        <v>213</v>
      </c>
      <c r="I63" s="48">
        <v>12406</v>
      </c>
      <c r="J63" s="47"/>
      <c r="K63" s="47"/>
      <c r="L63" s="47" t="str">
        <f>IF(2.26*1320=0," ",TEXT(,ROUND((2.26*1320*4.159),2)))</f>
        <v>12407,13</v>
      </c>
      <c r="M63" s="47"/>
      <c r="N63" s="47"/>
      <c r="O63" s="49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 t="s">
        <v>214</v>
      </c>
      <c r="AG63" s="50" t="s">
        <v>180</v>
      </c>
      <c r="AH63" s="50"/>
      <c r="AI63" s="50">
        <f>0+0</f>
        <v>0</v>
      </c>
    </row>
    <row r="64" spans="1:35" ht="105.6" x14ac:dyDescent="0.25">
      <c r="A64" s="44">
        <v>38</v>
      </c>
      <c r="B64" s="45" t="s">
        <v>215</v>
      </c>
      <c r="C64" s="46" t="str">
        <f t="shared" ca="1" si="1"/>
        <v xml:space="preserve">Установка элементов каркаса: из брусьев
1 м3 древесины в конструкции
335 руб. НР 90%=118%*(0,85*0,9) от ФОТ (372 руб.)
160 руб.СП 43%=63%*(0,8*0,85) от ФОТ (372 руб.)
</v>
      </c>
      <c r="D64" s="44">
        <v>0.1</v>
      </c>
      <c r="E64" s="47" t="s">
        <v>216</v>
      </c>
      <c r="F64" s="47">
        <v>33.51</v>
      </c>
      <c r="G64" s="47">
        <v>2189</v>
      </c>
      <c r="H64" s="58" t="s">
        <v>217</v>
      </c>
      <c r="I64" s="48">
        <v>1156</v>
      </c>
      <c r="J64" s="47">
        <v>372</v>
      </c>
      <c r="K64" s="47">
        <v>46</v>
      </c>
      <c r="L64" s="47" t="str">
        <f>IF(0.1*2189=0," ",TEXT(,ROUND((0.1*2189*3.37),2)))</f>
        <v>737,69</v>
      </c>
      <c r="M64" s="47">
        <v>22.5</v>
      </c>
      <c r="N64" s="47">
        <v>2.25</v>
      </c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 t="s">
        <v>91</v>
      </c>
      <c r="AB64" s="50" t="s">
        <v>92</v>
      </c>
      <c r="AC64" s="50">
        <v>335</v>
      </c>
      <c r="AD64" s="50">
        <v>160</v>
      </c>
      <c r="AE64" s="50"/>
      <c r="AF64" s="50" t="s">
        <v>218</v>
      </c>
      <c r="AG64" s="50" t="s">
        <v>219</v>
      </c>
      <c r="AH64" s="50"/>
      <c r="AI64" s="50">
        <f>372+0</f>
        <v>372</v>
      </c>
    </row>
    <row r="65" spans="1:35" ht="118.8" x14ac:dyDescent="0.25">
      <c r="A65" s="44">
        <v>39</v>
      </c>
      <c r="B65" s="45" t="s">
        <v>220</v>
      </c>
      <c r="C65" s="46" t="str">
        <f t="shared" ca="1" si="1"/>
        <v xml:space="preserve">Установка противопожарных дверей: однопольных глухих
1 м2 проема
408 руб. НР 69%=90%*(0,85*0,9) от ФОТ (592 руб.)
343 руб.СП 58%=85%*(0,8*0,85) от ФОТ (592 руб.)
</v>
      </c>
      <c r="D65" s="44">
        <v>1.44</v>
      </c>
      <c r="E65" s="47" t="s">
        <v>221</v>
      </c>
      <c r="F65" s="47">
        <v>10.199999999999999</v>
      </c>
      <c r="G65" s="47">
        <v>60.66</v>
      </c>
      <c r="H65" s="58" t="s">
        <v>222</v>
      </c>
      <c r="I65" s="48">
        <v>1140</v>
      </c>
      <c r="J65" s="47">
        <v>592</v>
      </c>
      <c r="K65" s="47">
        <v>124</v>
      </c>
      <c r="L65" s="47" t="str">
        <f>IF(1.44*60.66=0," ",TEXT(,ROUND((1.44*60.66*4.87),2)))</f>
        <v>425,4</v>
      </c>
      <c r="M65" s="47">
        <v>2.0699999999999998</v>
      </c>
      <c r="N65" s="47">
        <v>2.98</v>
      </c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 t="s">
        <v>223</v>
      </c>
      <c r="AB65" s="50" t="s">
        <v>224</v>
      </c>
      <c r="AC65" s="50">
        <v>408</v>
      </c>
      <c r="AD65" s="50">
        <v>343</v>
      </c>
      <c r="AE65" s="50"/>
      <c r="AF65" s="50" t="s">
        <v>225</v>
      </c>
      <c r="AG65" s="50" t="s">
        <v>226</v>
      </c>
      <c r="AH65" s="50"/>
      <c r="AI65" s="50">
        <f>592+0</f>
        <v>592</v>
      </c>
    </row>
    <row r="66" spans="1:35" ht="66" x14ac:dyDescent="0.25">
      <c r="A66" s="52">
        <v>40</v>
      </c>
      <c r="B66" s="53" t="s">
        <v>227</v>
      </c>
      <c r="C66" s="54" t="str">
        <f t="shared" ca="1" si="1"/>
        <v xml:space="preserve">Люки противопожарные: ЛПМ 01/60, 800х900 мм 8654,13/5,56=1556,50
шт.
</v>
      </c>
      <c r="D66" s="52">
        <v>2</v>
      </c>
      <c r="E66" s="55">
        <v>1556.5</v>
      </c>
      <c r="F66" s="55"/>
      <c r="G66" s="55">
        <v>1556.5</v>
      </c>
      <c r="H66" s="56" t="s">
        <v>150</v>
      </c>
      <c r="I66" s="57">
        <v>17308</v>
      </c>
      <c r="J66" s="55"/>
      <c r="K66" s="55"/>
      <c r="L66" s="55" t="str">
        <f>IF(2*1556.5=0," ",TEXT(,ROUND((2*1556.5*5.56),2)))</f>
        <v>17308,28</v>
      </c>
      <c r="M66" s="55"/>
      <c r="N66" s="55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 t="s">
        <v>228</v>
      </c>
      <c r="AG66" s="50" t="s">
        <v>229</v>
      </c>
      <c r="AH66" s="50"/>
      <c r="AI66" s="50">
        <f>0+0</f>
        <v>0</v>
      </c>
    </row>
    <row r="67" spans="1:35" ht="26.4" x14ac:dyDescent="0.25">
      <c r="A67" s="70" t="s">
        <v>124</v>
      </c>
      <c r="B67" s="65"/>
      <c r="C67" s="65"/>
      <c r="D67" s="65"/>
      <c r="E67" s="65"/>
      <c r="F67" s="65"/>
      <c r="G67" s="65"/>
      <c r="H67" s="65"/>
      <c r="I67" s="48">
        <v>232993</v>
      </c>
      <c r="J67" s="47">
        <v>16170</v>
      </c>
      <c r="K67" s="47" t="s">
        <v>230</v>
      </c>
      <c r="L67" s="47">
        <v>213726</v>
      </c>
      <c r="M67" s="47"/>
      <c r="N67" s="47" t="s">
        <v>231</v>
      </c>
      <c r="O67" s="17"/>
      <c r="P67" s="18"/>
      <c r="Q67" s="17"/>
      <c r="R67" s="17"/>
      <c r="S67" s="17"/>
    </row>
    <row r="68" spans="1:35" ht="26.4" x14ac:dyDescent="0.25">
      <c r="A68" s="70" t="s">
        <v>232</v>
      </c>
      <c r="B68" s="65"/>
      <c r="C68" s="65"/>
      <c r="D68" s="65"/>
      <c r="E68" s="65"/>
      <c r="F68" s="65"/>
      <c r="G68" s="65"/>
      <c r="H68" s="65"/>
      <c r="I68" s="48">
        <v>236082</v>
      </c>
      <c r="J68" s="47">
        <v>18506</v>
      </c>
      <c r="K68" s="47" t="s">
        <v>233</v>
      </c>
      <c r="L68" s="47">
        <v>213726</v>
      </c>
      <c r="M68" s="47"/>
      <c r="N68" s="47" t="s">
        <v>234</v>
      </c>
      <c r="O68" s="17"/>
      <c r="P68" s="18"/>
      <c r="Q68" s="17"/>
      <c r="R68" s="17"/>
      <c r="S68" s="17"/>
    </row>
    <row r="69" spans="1:35" x14ac:dyDescent="0.25">
      <c r="A69" s="70" t="s">
        <v>235</v>
      </c>
      <c r="B69" s="65"/>
      <c r="C69" s="65"/>
      <c r="D69" s="65"/>
      <c r="E69" s="65"/>
      <c r="F69" s="65"/>
      <c r="G69" s="65"/>
      <c r="H69" s="65"/>
      <c r="I69" s="48"/>
      <c r="J69" s="47"/>
      <c r="K69" s="47"/>
      <c r="L69" s="47"/>
      <c r="M69" s="47"/>
      <c r="N69" s="47"/>
      <c r="O69" s="17"/>
      <c r="P69" s="18"/>
      <c r="Q69" s="17"/>
      <c r="R69" s="17"/>
      <c r="S69" s="17"/>
    </row>
    <row r="70" spans="1:35" ht="27.9" customHeight="1" x14ac:dyDescent="0.25">
      <c r="A70" s="70" t="s">
        <v>236</v>
      </c>
      <c r="B70" s="65"/>
      <c r="C70" s="65"/>
      <c r="D70" s="65"/>
      <c r="E70" s="65"/>
      <c r="F70" s="65"/>
      <c r="G70" s="65"/>
      <c r="H70" s="65"/>
      <c r="I70" s="48">
        <v>3089</v>
      </c>
      <c r="J70" s="47">
        <v>2336</v>
      </c>
      <c r="K70" s="47" t="s">
        <v>237</v>
      </c>
      <c r="L70" s="47"/>
      <c r="M70" s="47"/>
      <c r="N70" s="47" t="s">
        <v>238</v>
      </c>
      <c r="O70" s="17"/>
      <c r="P70" s="18"/>
      <c r="Q70" s="17"/>
      <c r="R70" s="17"/>
      <c r="S70" s="17"/>
    </row>
    <row r="71" spans="1:35" ht="26.4" x14ac:dyDescent="0.25">
      <c r="A71" s="70" t="s">
        <v>127</v>
      </c>
      <c r="B71" s="65"/>
      <c r="C71" s="65"/>
      <c r="D71" s="65"/>
      <c r="E71" s="65"/>
      <c r="F71" s="65"/>
      <c r="G71" s="65"/>
      <c r="H71" s="65"/>
      <c r="I71" s="48">
        <v>1562555</v>
      </c>
      <c r="J71" s="47">
        <v>312752</v>
      </c>
      <c r="K71" s="47" t="s">
        <v>239</v>
      </c>
      <c r="L71" s="47">
        <v>1201041</v>
      </c>
      <c r="M71" s="47"/>
      <c r="N71" s="47" t="s">
        <v>234</v>
      </c>
      <c r="O71" s="17"/>
      <c r="P71" s="18"/>
      <c r="Q71" s="17"/>
      <c r="R71" s="17"/>
      <c r="S71" s="17"/>
    </row>
    <row r="72" spans="1:35" x14ac:dyDescent="0.25">
      <c r="A72" s="70" t="s">
        <v>129</v>
      </c>
      <c r="B72" s="65"/>
      <c r="C72" s="65"/>
      <c r="D72" s="65"/>
      <c r="E72" s="65"/>
      <c r="F72" s="65"/>
      <c r="G72" s="65"/>
      <c r="H72" s="65"/>
      <c r="I72" s="48">
        <v>292450</v>
      </c>
      <c r="J72" s="47"/>
      <c r="K72" s="47"/>
      <c r="L72" s="47"/>
      <c r="M72" s="47"/>
      <c r="N72" s="47"/>
      <c r="O72" s="17"/>
      <c r="P72" s="18"/>
      <c r="Q72" s="17"/>
      <c r="R72" s="17"/>
      <c r="S72" s="17"/>
    </row>
    <row r="73" spans="1:35" x14ac:dyDescent="0.25">
      <c r="A73" s="70" t="s">
        <v>130</v>
      </c>
      <c r="B73" s="65"/>
      <c r="C73" s="65"/>
      <c r="D73" s="65"/>
      <c r="E73" s="65"/>
      <c r="F73" s="65"/>
      <c r="G73" s="65"/>
      <c r="H73" s="65"/>
      <c r="I73" s="48">
        <v>142853</v>
      </c>
      <c r="J73" s="47"/>
      <c r="K73" s="47"/>
      <c r="L73" s="47"/>
      <c r="M73" s="47"/>
      <c r="N73" s="47"/>
      <c r="O73" s="17"/>
      <c r="P73" s="18"/>
      <c r="Q73" s="17"/>
      <c r="R73" s="17"/>
      <c r="S73" s="17"/>
    </row>
    <row r="74" spans="1:35" ht="26.4" x14ac:dyDescent="0.25">
      <c r="A74" s="71" t="s">
        <v>240</v>
      </c>
      <c r="B74" s="72"/>
      <c r="C74" s="72"/>
      <c r="D74" s="72"/>
      <c r="E74" s="72"/>
      <c r="F74" s="72"/>
      <c r="G74" s="72"/>
      <c r="H74" s="72"/>
      <c r="I74" s="59">
        <v>1997858</v>
      </c>
      <c r="J74" s="60"/>
      <c r="K74" s="60"/>
      <c r="L74" s="60"/>
      <c r="M74" s="60"/>
      <c r="N74" s="60" t="s">
        <v>234</v>
      </c>
      <c r="O74" s="17"/>
      <c r="P74" s="18"/>
      <c r="Q74" s="17"/>
      <c r="R74" s="17"/>
      <c r="S74" s="17"/>
    </row>
    <row r="75" spans="1:35" ht="21" customHeight="1" x14ac:dyDescent="0.25">
      <c r="A75" s="68" t="s">
        <v>241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</row>
    <row r="76" spans="1:35" ht="105.6" x14ac:dyDescent="0.25">
      <c r="A76" s="44">
        <v>41</v>
      </c>
      <c r="B76" s="45" t="s">
        <v>242</v>
      </c>
      <c r="C76" s="46" t="str">
        <f t="shared" ref="C76:C107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стропил
1 м3 древесины в конструкции
156678 руб. НР 90%=118%*(0,85*0,9) от ФОТ (174087 руб.)
74857 руб.СП 43%=63%*(0,8*0,85) от ФОТ (174087 руб.)
</v>
      </c>
      <c r="D76" s="44">
        <v>44.253999999999998</v>
      </c>
      <c r="E76" s="47" t="s">
        <v>243</v>
      </c>
      <c r="F76" s="47" t="s">
        <v>244</v>
      </c>
      <c r="G76" s="47">
        <v>2062.2600000000002</v>
      </c>
      <c r="H76" s="58" t="s">
        <v>245</v>
      </c>
      <c r="I76" s="48">
        <v>534208</v>
      </c>
      <c r="J76" s="47">
        <v>172177</v>
      </c>
      <c r="K76" s="47" t="s">
        <v>246</v>
      </c>
      <c r="L76" s="47" t="str">
        <f>IF(44.254*2062.26=0," ",TEXT(,ROUND((44.254*2062.26*3.71),2)))</f>
        <v>338586,67</v>
      </c>
      <c r="M76" s="47" t="s">
        <v>247</v>
      </c>
      <c r="N76" s="47" t="s">
        <v>248</v>
      </c>
      <c r="O76" s="49"/>
      <c r="P76" s="49"/>
      <c r="Q76" s="49"/>
      <c r="R76" s="49"/>
      <c r="S76" s="49"/>
      <c r="T76" s="50"/>
      <c r="U76" s="50"/>
      <c r="V76" s="50"/>
      <c r="W76" s="50"/>
      <c r="X76" s="50"/>
      <c r="Y76" s="50"/>
      <c r="Z76" s="50"/>
      <c r="AA76" s="50" t="s">
        <v>91</v>
      </c>
      <c r="AB76" s="50" t="s">
        <v>92</v>
      </c>
      <c r="AC76" s="50">
        <v>156678</v>
      </c>
      <c r="AD76" s="50">
        <v>74857</v>
      </c>
      <c r="AE76" s="50"/>
      <c r="AF76" s="50" t="s">
        <v>249</v>
      </c>
      <c r="AG76" s="50" t="s">
        <v>219</v>
      </c>
      <c r="AH76" s="50"/>
      <c r="AI76" s="50">
        <f>172177+1910</f>
        <v>174087</v>
      </c>
    </row>
    <row r="77" spans="1:35" ht="105.6" x14ac:dyDescent="0.25">
      <c r="A77" s="44">
        <v>42</v>
      </c>
      <c r="B77" s="45" t="s">
        <v>250</v>
      </c>
      <c r="C77" s="46" t="str">
        <f t="shared" ca="1" si="2"/>
        <v xml:space="preserve">Устройство обрешетки сплошной из досок
100 м2
16271 руб. НР 71%=83%*0,85 от ФОТ (22917 руб.)
11917 руб.СП 52%=65%*0,8 от ФОТ (22917 руб.)
</v>
      </c>
      <c r="D77" s="44" t="s">
        <v>251</v>
      </c>
      <c r="E77" s="47" t="s">
        <v>252</v>
      </c>
      <c r="F77" s="47" t="s">
        <v>253</v>
      </c>
      <c r="G77" s="47">
        <v>2198.6799999999998</v>
      </c>
      <c r="H77" s="58" t="s">
        <v>254</v>
      </c>
      <c r="I77" s="48">
        <v>88120</v>
      </c>
      <c r="J77" s="47">
        <v>22393</v>
      </c>
      <c r="K77" s="47" t="s">
        <v>255</v>
      </c>
      <c r="L77" s="47" t="str">
        <f>IF(5.243*2198.68=0," ",TEXT(,ROUND((5.243*2198.68*5.51),2)))</f>
        <v>63517,51</v>
      </c>
      <c r="M77" s="47" t="s">
        <v>256</v>
      </c>
      <c r="N77" s="47" t="s">
        <v>257</v>
      </c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  <c r="AA77" s="50" t="s">
        <v>40</v>
      </c>
      <c r="AB77" s="50" t="s">
        <v>41</v>
      </c>
      <c r="AC77" s="50">
        <v>16271</v>
      </c>
      <c r="AD77" s="50">
        <v>11917</v>
      </c>
      <c r="AE77" s="50"/>
      <c r="AF77" s="50" t="s">
        <v>258</v>
      </c>
      <c r="AG77" s="50" t="s">
        <v>259</v>
      </c>
      <c r="AH77" s="50"/>
      <c r="AI77" s="50">
        <f>22393+524</f>
        <v>22917</v>
      </c>
    </row>
    <row r="78" spans="1:35" ht="66" x14ac:dyDescent="0.25">
      <c r="A78" s="44">
        <v>43</v>
      </c>
      <c r="B78" s="45" t="s">
        <v>260</v>
      </c>
      <c r="C78" s="46" t="str">
        <f t="shared" ca="1" si="2"/>
        <v xml:space="preserve">Доски необрезные хвойных пород длиной: 4-6,5 м, все ширины, толщиной 25 мм, III сорта
м3
</v>
      </c>
      <c r="D78" s="44">
        <v>-13.84</v>
      </c>
      <c r="E78" s="47">
        <v>792</v>
      </c>
      <c r="F78" s="47"/>
      <c r="G78" s="47">
        <v>792</v>
      </c>
      <c r="H78" s="58" t="s">
        <v>261</v>
      </c>
      <c r="I78" s="48">
        <v>-61809</v>
      </c>
      <c r="J78" s="47"/>
      <c r="K78" s="47"/>
      <c r="L78" s="47" t="str">
        <f>IF(-13.84*792=0," ",TEXT(,ROUND((-13.84*792*5.639),2)))</f>
        <v>-61810,66</v>
      </c>
      <c r="M78" s="47"/>
      <c r="N78" s="47"/>
      <c r="O78" s="49"/>
      <c r="P78" s="49"/>
      <c r="Q78" s="49"/>
      <c r="R78" s="49"/>
      <c r="S78" s="49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 t="s">
        <v>262</v>
      </c>
      <c r="AG78" s="50" t="s">
        <v>180</v>
      </c>
      <c r="AH78" s="50"/>
      <c r="AI78" s="50">
        <f>0+0</f>
        <v>0</v>
      </c>
    </row>
    <row r="79" spans="1:35" ht="79.2" x14ac:dyDescent="0.25">
      <c r="A79" s="44">
        <v>44</v>
      </c>
      <c r="B79" s="45" t="s">
        <v>212</v>
      </c>
      <c r="C79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79" s="44">
        <v>27.68</v>
      </c>
      <c r="E79" s="47">
        <v>1320</v>
      </c>
      <c r="F79" s="47"/>
      <c r="G79" s="47">
        <v>1320</v>
      </c>
      <c r="H79" s="58" t="s">
        <v>213</v>
      </c>
      <c r="I79" s="48">
        <v>151962</v>
      </c>
      <c r="J79" s="47"/>
      <c r="K79" s="47"/>
      <c r="L79" s="47" t="str">
        <f>IF(27.68*1320=0," ",TEXT(,ROUND((27.68*1320*4.159),2)))</f>
        <v>151959,88</v>
      </c>
      <c r="M79" s="47"/>
      <c r="N79" s="47"/>
      <c r="O79" s="49"/>
      <c r="P79" s="49"/>
      <c r="Q79" s="49"/>
      <c r="R79" s="49"/>
      <c r="S79" s="49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 t="s">
        <v>214</v>
      </c>
      <c r="AG79" s="50" t="s">
        <v>180</v>
      </c>
      <c r="AH79" s="50"/>
      <c r="AI79" s="50">
        <f>0+0</f>
        <v>0</v>
      </c>
    </row>
    <row r="80" spans="1:35" ht="105.6" x14ac:dyDescent="0.25">
      <c r="A80" s="44">
        <v>45</v>
      </c>
      <c r="B80" s="45" t="s">
        <v>263</v>
      </c>
      <c r="C80" s="46" t="str">
        <f t="shared" ca="1" si="2"/>
        <v xml:space="preserve">Устройство обрешетки с прозорами из досок и брусков под кровлю: из листовой стали
100 м2
9395 руб. НР 71%=83%*0,85 от ФОТ (13233 руб.)
6881 руб.СП 52%=65%*0,8 от ФОТ (13233 руб.)
</v>
      </c>
      <c r="D80" s="44">
        <v>4.5069999999999997</v>
      </c>
      <c r="E80" s="47" t="s">
        <v>264</v>
      </c>
      <c r="F80" s="47" t="s">
        <v>265</v>
      </c>
      <c r="G80" s="47">
        <v>1570.73</v>
      </c>
      <c r="H80" s="58" t="s">
        <v>266</v>
      </c>
      <c r="I80" s="48">
        <v>51366</v>
      </c>
      <c r="J80" s="47">
        <v>12912</v>
      </c>
      <c r="K80" s="47" t="s">
        <v>267</v>
      </c>
      <c r="L80" s="47" t="str">
        <f>IF(4.507*1570.73=0," ",TEXT(,ROUND((4.507*1570.73*5.26),2)))</f>
        <v>37237,01</v>
      </c>
      <c r="M80" s="47" t="s">
        <v>268</v>
      </c>
      <c r="N80" s="47" t="s">
        <v>269</v>
      </c>
      <c r="O80" s="49"/>
      <c r="P80" s="49"/>
      <c r="Q80" s="49"/>
      <c r="R80" s="49"/>
      <c r="S80" s="49"/>
      <c r="T80" s="50"/>
      <c r="U80" s="50"/>
      <c r="V80" s="50"/>
      <c r="W80" s="50"/>
      <c r="X80" s="50"/>
      <c r="Y80" s="50"/>
      <c r="Z80" s="50"/>
      <c r="AA80" s="50" t="s">
        <v>40</v>
      </c>
      <c r="AB80" s="50" t="s">
        <v>41</v>
      </c>
      <c r="AC80" s="50">
        <v>9395</v>
      </c>
      <c r="AD80" s="50">
        <v>6881</v>
      </c>
      <c r="AE80" s="50"/>
      <c r="AF80" s="50" t="s">
        <v>270</v>
      </c>
      <c r="AG80" s="50" t="s">
        <v>259</v>
      </c>
      <c r="AH80" s="50"/>
      <c r="AI80" s="50">
        <f>12912+321</f>
        <v>13233</v>
      </c>
    </row>
    <row r="81" spans="1:35" ht="66" x14ac:dyDescent="0.25">
      <c r="A81" s="44">
        <v>46</v>
      </c>
      <c r="B81" s="45" t="s">
        <v>209</v>
      </c>
      <c r="C81" s="46" t="str">
        <f t="shared" ca="1" si="2"/>
        <v xml:space="preserve">Доски необрезные хвойных пород длиной: 4-6,5 м, все ширины, толщиной 32-40 мм, III сорта
м3
</v>
      </c>
      <c r="D81" s="44">
        <v>-8.1129999999999995</v>
      </c>
      <c r="E81" s="47">
        <v>832.7</v>
      </c>
      <c r="F81" s="47"/>
      <c r="G81" s="47">
        <v>832.7</v>
      </c>
      <c r="H81" s="58" t="s">
        <v>210</v>
      </c>
      <c r="I81" s="48">
        <v>-36239</v>
      </c>
      <c r="J81" s="47"/>
      <c r="K81" s="47"/>
      <c r="L81" s="47" t="str">
        <f>IF(-8.113*832.7=0," ",TEXT(,ROUND((-8.113*832.7*5.364),2)))</f>
        <v>-36237,55</v>
      </c>
      <c r="M81" s="47"/>
      <c r="N81" s="47"/>
      <c r="O81" s="49"/>
      <c r="P81" s="49"/>
      <c r="Q81" s="49"/>
      <c r="R81" s="49"/>
      <c r="S81" s="49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 t="s">
        <v>211</v>
      </c>
      <c r="AG81" s="50" t="s">
        <v>180</v>
      </c>
      <c r="AH81" s="50"/>
      <c r="AI81" s="50">
        <f>0+0</f>
        <v>0</v>
      </c>
    </row>
    <row r="82" spans="1:35" ht="79.2" x14ac:dyDescent="0.25">
      <c r="A82" s="44">
        <v>47</v>
      </c>
      <c r="B82" s="45" t="s">
        <v>212</v>
      </c>
      <c r="C82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82" s="44">
        <v>10.141</v>
      </c>
      <c r="E82" s="47">
        <v>1320</v>
      </c>
      <c r="F82" s="47"/>
      <c r="G82" s="47">
        <v>1320</v>
      </c>
      <c r="H82" s="58" t="s">
        <v>213</v>
      </c>
      <c r="I82" s="48">
        <v>55672</v>
      </c>
      <c r="J82" s="47"/>
      <c r="K82" s="47"/>
      <c r="L82" s="47" t="str">
        <f>IF(10.141*1320=0," ",TEXT(,ROUND((10.141*1320*4.159),2)))</f>
        <v>55672,87</v>
      </c>
      <c r="M82" s="47"/>
      <c r="N82" s="47"/>
      <c r="O82" s="49"/>
      <c r="P82" s="49"/>
      <c r="Q82" s="49"/>
      <c r="R82" s="49"/>
      <c r="S82" s="49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 t="s">
        <v>214</v>
      </c>
      <c r="AG82" s="50" t="s">
        <v>180</v>
      </c>
      <c r="AH82" s="50"/>
      <c r="AI82" s="50">
        <f>0+0</f>
        <v>0</v>
      </c>
    </row>
    <row r="83" spans="1:35" ht="92.4" x14ac:dyDescent="0.25">
      <c r="A83" s="44">
        <v>48</v>
      </c>
      <c r="B83" s="45" t="s">
        <v>141</v>
      </c>
      <c r="C83" s="46" t="str">
        <f t="shared" ca="1" si="2"/>
        <v xml:space="preserve">Устройство покрытия из рулонных материалов: насухо без промазки кромок
100 м2 кровли
4740 руб. НР 71%=83%*0,85 от ФОТ (6676 руб.)
3472 руб.СП 52%=65%*0,8 от ФОТ (6676 руб.)
</v>
      </c>
      <c r="D83" s="44">
        <v>10.91</v>
      </c>
      <c r="E83" s="47" t="s">
        <v>142</v>
      </c>
      <c r="F83" s="47">
        <v>5.23</v>
      </c>
      <c r="G83" s="47">
        <v>883.33</v>
      </c>
      <c r="H83" s="58" t="s">
        <v>143</v>
      </c>
      <c r="I83" s="48">
        <v>55632</v>
      </c>
      <c r="J83" s="47">
        <v>6676</v>
      </c>
      <c r="K83" s="47">
        <v>674</v>
      </c>
      <c r="L83" s="47" t="str">
        <f>IF(10.91*883.33=0," ",TEXT(,ROUND((10.91*883.33*5.01),2)))</f>
        <v>48282,02</v>
      </c>
      <c r="M83" s="47">
        <v>4.5199999999999996</v>
      </c>
      <c r="N83" s="47">
        <v>49.31</v>
      </c>
      <c r="O83" s="49"/>
      <c r="P83" s="49"/>
      <c r="Q83" s="49"/>
      <c r="R83" s="49"/>
      <c r="S83" s="49"/>
      <c r="T83" s="50"/>
      <c r="U83" s="50"/>
      <c r="V83" s="50"/>
      <c r="W83" s="50"/>
      <c r="X83" s="50"/>
      <c r="Y83" s="50"/>
      <c r="Z83" s="50"/>
      <c r="AA83" s="50" t="s">
        <v>40</v>
      </c>
      <c r="AB83" s="50" t="s">
        <v>41</v>
      </c>
      <c r="AC83" s="50">
        <v>4740</v>
      </c>
      <c r="AD83" s="50">
        <v>3472</v>
      </c>
      <c r="AE83" s="50"/>
      <c r="AF83" s="50" t="s">
        <v>144</v>
      </c>
      <c r="AG83" s="50" t="s">
        <v>57</v>
      </c>
      <c r="AH83" s="50"/>
      <c r="AI83" s="50">
        <f>6676+0</f>
        <v>6676</v>
      </c>
    </row>
    <row r="84" spans="1:35" ht="66" x14ac:dyDescent="0.25">
      <c r="A84" s="44">
        <v>49</v>
      </c>
      <c r="B84" s="45" t="s">
        <v>145</v>
      </c>
      <c r="C84" s="46" t="str">
        <f t="shared" ca="1" si="2"/>
        <v xml:space="preserve">Рубероид кровельный с крупнозернистой посыпкой марки: РКК-350б
м2
</v>
      </c>
      <c r="D84" s="44">
        <v>-1255</v>
      </c>
      <c r="E84" s="47">
        <v>7.46</v>
      </c>
      <c r="F84" s="47"/>
      <c r="G84" s="47">
        <v>7.46</v>
      </c>
      <c r="H84" s="58" t="s">
        <v>146</v>
      </c>
      <c r="I84" s="48">
        <v>-46847</v>
      </c>
      <c r="J84" s="47"/>
      <c r="K84" s="47"/>
      <c r="L84" s="47" t="str">
        <f>IF(-1255*7.46=0," ",TEXT(,ROUND((-1255*7.46*5.004),2)))</f>
        <v>-46848,95</v>
      </c>
      <c r="M84" s="47"/>
      <c r="N84" s="47"/>
      <c r="O84" s="49"/>
      <c r="P84" s="49"/>
      <c r="Q84" s="49"/>
      <c r="R84" s="49"/>
      <c r="S84" s="49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 t="s">
        <v>147</v>
      </c>
      <c r="AG84" s="50" t="s">
        <v>148</v>
      </c>
      <c r="AH84" s="50"/>
      <c r="AI84" s="50">
        <f>0+0</f>
        <v>0</v>
      </c>
    </row>
    <row r="85" spans="1:35" ht="66" x14ac:dyDescent="0.25">
      <c r="A85" s="44">
        <v>50</v>
      </c>
      <c r="B85" s="45" t="s">
        <v>271</v>
      </c>
      <c r="C85" s="46" t="str">
        <f t="shared" ca="1" si="2"/>
        <v xml:space="preserve">Изоспан: Защитный материал марки D 19,49/5,56=3,51
м2
</v>
      </c>
      <c r="D85" s="44">
        <v>1255</v>
      </c>
      <c r="E85" s="47">
        <v>3.51</v>
      </c>
      <c r="F85" s="47"/>
      <c r="G85" s="47">
        <v>3.51</v>
      </c>
      <c r="H85" s="58" t="s">
        <v>150</v>
      </c>
      <c r="I85" s="48">
        <v>24492</v>
      </c>
      <c r="J85" s="47"/>
      <c r="K85" s="47"/>
      <c r="L85" s="47" t="str">
        <f>IF(1255*3.51=0," ",TEXT(,ROUND((1255*3.51*5.56),2)))</f>
        <v>24492,08</v>
      </c>
      <c r="M85" s="47"/>
      <c r="N85" s="47"/>
      <c r="O85" s="49"/>
      <c r="P85" s="49"/>
      <c r="Q85" s="49"/>
      <c r="R85" s="49"/>
      <c r="S85" s="49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 t="s">
        <v>272</v>
      </c>
      <c r="AG85" s="50" t="s">
        <v>148</v>
      </c>
      <c r="AH85" s="50"/>
      <c r="AI85" s="50">
        <f>0+0</f>
        <v>0</v>
      </c>
    </row>
    <row r="86" spans="1:35" ht="105.6" x14ac:dyDescent="0.25">
      <c r="A86" s="44">
        <v>51</v>
      </c>
      <c r="B86" s="45" t="s">
        <v>273</v>
      </c>
      <c r="C86" s="46" t="str">
        <f t="shared" ca="1" si="2"/>
        <v xml:space="preserve">Устройство слуховых окон
1 слуховое окно
4076 руб. НР 90%=118%*(0,85*0,9) от ФОТ (4529 руб.)
1947 руб.СП 43%=63%*(0,8*0,85) от ФОТ (4529 руб.)
</v>
      </c>
      <c r="D86" s="44">
        <v>4</v>
      </c>
      <c r="E86" s="47" t="s">
        <v>274</v>
      </c>
      <c r="F86" s="47" t="s">
        <v>275</v>
      </c>
      <c r="G86" s="47">
        <v>300.2</v>
      </c>
      <c r="H86" s="58" t="s">
        <v>276</v>
      </c>
      <c r="I86" s="48">
        <v>12155</v>
      </c>
      <c r="J86" s="47">
        <v>4394</v>
      </c>
      <c r="K86" s="47" t="s">
        <v>277</v>
      </c>
      <c r="L86" s="47" t="str">
        <f>IF(4*300.2=0," ",TEXT(,ROUND((4*300.2*5.43),2)))</f>
        <v>6520,34</v>
      </c>
      <c r="M86" s="47" t="s">
        <v>278</v>
      </c>
      <c r="N86" s="47" t="s">
        <v>279</v>
      </c>
      <c r="O86" s="49"/>
      <c r="P86" s="49"/>
      <c r="Q86" s="49"/>
      <c r="R86" s="49"/>
      <c r="S86" s="49"/>
      <c r="T86" s="50"/>
      <c r="U86" s="50"/>
      <c r="V86" s="50"/>
      <c r="W86" s="50"/>
      <c r="X86" s="50"/>
      <c r="Y86" s="50"/>
      <c r="Z86" s="50"/>
      <c r="AA86" s="50" t="s">
        <v>91</v>
      </c>
      <c r="AB86" s="50" t="s">
        <v>92</v>
      </c>
      <c r="AC86" s="50">
        <v>4076</v>
      </c>
      <c r="AD86" s="50">
        <v>1947</v>
      </c>
      <c r="AE86" s="50"/>
      <c r="AF86" s="50" t="s">
        <v>280</v>
      </c>
      <c r="AG86" s="50" t="s">
        <v>281</v>
      </c>
      <c r="AH86" s="50"/>
      <c r="AI86" s="50">
        <f>4394+135</f>
        <v>4529</v>
      </c>
    </row>
    <row r="87" spans="1:35" ht="66" x14ac:dyDescent="0.25">
      <c r="A87" s="44">
        <v>52</v>
      </c>
      <c r="B87" s="45" t="s">
        <v>282</v>
      </c>
      <c r="C87" s="46" t="str">
        <f t="shared" ca="1" si="2"/>
        <v xml:space="preserve">Створки оконные для жилых зданий площадь: 0,3-0,4 м2
м2
</v>
      </c>
      <c r="D87" s="44">
        <v>-2</v>
      </c>
      <c r="E87" s="47">
        <v>151.4</v>
      </c>
      <c r="F87" s="47"/>
      <c r="G87" s="47">
        <v>151.4</v>
      </c>
      <c r="H87" s="58" t="s">
        <v>283</v>
      </c>
      <c r="I87" s="48">
        <v>-2349</v>
      </c>
      <c r="J87" s="47"/>
      <c r="K87" s="47"/>
      <c r="L87" s="47" t="str">
        <f>IF(-2*151.4=0," ",TEXT(,ROUND((-2*151.4*7.753),2)))</f>
        <v>-2347,61</v>
      </c>
      <c r="M87" s="47"/>
      <c r="N87" s="47"/>
      <c r="O87" s="49"/>
      <c r="P87" s="49"/>
      <c r="Q87" s="49"/>
      <c r="R87" s="49"/>
      <c r="S87" s="49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 t="s">
        <v>284</v>
      </c>
      <c r="AG87" s="50" t="s">
        <v>148</v>
      </c>
      <c r="AH87" s="50"/>
      <c r="AI87" s="50">
        <f>0+0</f>
        <v>0</v>
      </c>
    </row>
    <row r="88" spans="1:35" ht="52.8" x14ac:dyDescent="0.25">
      <c r="A88" s="44">
        <v>53</v>
      </c>
      <c r="B88" s="45" t="s">
        <v>285</v>
      </c>
      <c r="C88" s="46" t="str">
        <f t="shared" ca="1" si="2"/>
        <v xml:space="preserve">Петли форточные накладные размером 70х55 мм
компл.
</v>
      </c>
      <c r="D88" s="44">
        <v>4</v>
      </c>
      <c r="E88" s="47">
        <v>3.74</v>
      </c>
      <c r="F88" s="47"/>
      <c r="G88" s="47">
        <v>3.74</v>
      </c>
      <c r="H88" s="58" t="s">
        <v>286</v>
      </c>
      <c r="I88" s="48">
        <v>35</v>
      </c>
      <c r="J88" s="47"/>
      <c r="K88" s="47"/>
      <c r="L88" s="47" t="str">
        <f>IF(4*3.74=0," ",TEXT(,ROUND((4*3.74*2.338),2)))</f>
        <v>34,98</v>
      </c>
      <c r="M88" s="47"/>
      <c r="N88" s="47"/>
      <c r="O88" s="49"/>
      <c r="P88" s="49"/>
      <c r="Q88" s="49"/>
      <c r="R88" s="49"/>
      <c r="S88" s="49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 t="s">
        <v>287</v>
      </c>
      <c r="AG88" s="50" t="s">
        <v>288</v>
      </c>
      <c r="AH88" s="50"/>
      <c r="AI88" s="50">
        <f>0+0</f>
        <v>0</v>
      </c>
    </row>
    <row r="89" spans="1:35" ht="66" x14ac:dyDescent="0.25">
      <c r="A89" s="44">
        <v>54</v>
      </c>
      <c r="B89" s="45" t="s">
        <v>289</v>
      </c>
      <c r="C89" s="46" t="str">
        <f t="shared" ca="1" si="2"/>
        <v xml:space="preserve">Шпингалеты дверные размером 230х26 мм, оцинкованные или окрашенные
компл.
</v>
      </c>
      <c r="D89" s="44">
        <v>4</v>
      </c>
      <c r="E89" s="47">
        <v>13.42</v>
      </c>
      <c r="F89" s="47"/>
      <c r="G89" s="47">
        <v>13.42</v>
      </c>
      <c r="H89" s="58" t="s">
        <v>290</v>
      </c>
      <c r="I89" s="48">
        <v>107</v>
      </c>
      <c r="J89" s="47"/>
      <c r="K89" s="47"/>
      <c r="L89" s="47" t="str">
        <f>IF(4*13.42=0," ",TEXT(,ROUND((4*13.42*1.986),2)))</f>
        <v>106,61</v>
      </c>
      <c r="M89" s="47"/>
      <c r="N89" s="47"/>
      <c r="O89" s="49"/>
      <c r="P89" s="49"/>
      <c r="Q89" s="49"/>
      <c r="R89" s="49"/>
      <c r="S89" s="49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 t="s">
        <v>291</v>
      </c>
      <c r="AG89" s="50" t="s">
        <v>288</v>
      </c>
      <c r="AH89" s="50"/>
      <c r="AI89" s="50">
        <f>0+0</f>
        <v>0</v>
      </c>
    </row>
    <row r="90" spans="1:35" ht="79.2" x14ac:dyDescent="0.25">
      <c r="A90" s="44">
        <v>55</v>
      </c>
      <c r="B90" s="45" t="s">
        <v>292</v>
      </c>
      <c r="C90" s="46" t="str">
        <f t="shared" ca="1" si="2"/>
        <v xml:space="preserve">Окна неоткрывающиеся (глухие) одинарной конструкции: с жалюзийной решеткой СГО 6-12Ж, площадь 0,65 м2
м2
</v>
      </c>
      <c r="D90" s="44">
        <v>3.2</v>
      </c>
      <c r="E90" s="47">
        <v>421.8</v>
      </c>
      <c r="F90" s="47"/>
      <c r="G90" s="47">
        <v>421.8</v>
      </c>
      <c r="H90" s="58" t="s">
        <v>150</v>
      </c>
      <c r="I90" s="48">
        <v>7506</v>
      </c>
      <c r="J90" s="47"/>
      <c r="K90" s="47"/>
      <c r="L90" s="47" t="str">
        <f>IF(3.2*421.8=0," ",TEXT(,ROUND((3.2*421.8*5.56),2)))</f>
        <v>7504,67</v>
      </c>
      <c r="M90" s="47"/>
      <c r="N90" s="47"/>
      <c r="O90" s="49"/>
      <c r="P90" s="49"/>
      <c r="Q90" s="49"/>
      <c r="R90" s="49"/>
      <c r="S90" s="49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 t="s">
        <v>293</v>
      </c>
      <c r="AG90" s="50" t="s">
        <v>148</v>
      </c>
      <c r="AH90" s="50"/>
      <c r="AI90" s="50">
        <f>0+0</f>
        <v>0</v>
      </c>
    </row>
    <row r="91" spans="1:35" ht="118.8" x14ac:dyDescent="0.25">
      <c r="A91" s="44">
        <v>56</v>
      </c>
      <c r="B91" s="45" t="s">
        <v>294</v>
      </c>
      <c r="C91" s="46" t="str">
        <f t="shared" ca="1" si="2"/>
        <v xml:space="preserve">Подшивка потолков: сталью кровельной оцинкованной по дереву
100 м2 потолка
745 руб. НР 90%=118%*(0,85*0,9) от ФОТ (828 руб.)
356 руб.СП 43%=63%*(0,8*0,85) от ФОТ (828 руб.)
</v>
      </c>
      <c r="D91" s="44" t="s">
        <v>295</v>
      </c>
      <c r="E91" s="47" t="s">
        <v>296</v>
      </c>
      <c r="F91" s="47">
        <v>9.59</v>
      </c>
      <c r="G91" s="47">
        <v>4743.53</v>
      </c>
      <c r="H91" s="58" t="s">
        <v>297</v>
      </c>
      <c r="I91" s="48">
        <v>4646</v>
      </c>
      <c r="J91" s="47">
        <v>828</v>
      </c>
      <c r="K91" s="47">
        <v>35</v>
      </c>
      <c r="L91" s="47" t="str">
        <f>IF(0.212*4743.53=0," ",TEXT(,ROUND((0.212*4743.53*3.76),2)))</f>
        <v>3781,16</v>
      </c>
      <c r="M91" s="47">
        <v>24.9</v>
      </c>
      <c r="N91" s="47">
        <v>5.28</v>
      </c>
      <c r="O91" s="49"/>
      <c r="P91" s="49"/>
      <c r="Q91" s="49"/>
      <c r="R91" s="49"/>
      <c r="S91" s="49"/>
      <c r="T91" s="50"/>
      <c r="U91" s="50"/>
      <c r="V91" s="50"/>
      <c r="W91" s="50"/>
      <c r="X91" s="50"/>
      <c r="Y91" s="50"/>
      <c r="Z91" s="50"/>
      <c r="AA91" s="50" t="s">
        <v>91</v>
      </c>
      <c r="AB91" s="50" t="s">
        <v>92</v>
      </c>
      <c r="AC91" s="50">
        <v>745</v>
      </c>
      <c r="AD91" s="50">
        <v>356</v>
      </c>
      <c r="AE91" s="50"/>
      <c r="AF91" s="50" t="s">
        <v>298</v>
      </c>
      <c r="AG91" s="50" t="s">
        <v>299</v>
      </c>
      <c r="AH91" s="50"/>
      <c r="AI91" s="50">
        <f>828+0</f>
        <v>828</v>
      </c>
    </row>
    <row r="92" spans="1:35" ht="158.4" x14ac:dyDescent="0.25">
      <c r="A92" s="44">
        <v>57</v>
      </c>
      <c r="B92" s="45" t="s">
        <v>300</v>
      </c>
      <c r="C92" s="46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48239 руб. НР 77%=100%*(0,85*0,9) от ФОТ (62648 руб.)
30071 руб.СП 48%=70%*(0,8*0,85) от ФОТ (62648 руб.)
</v>
      </c>
      <c r="D92" s="44">
        <v>38.137999999999998</v>
      </c>
      <c r="E92" s="47" t="s">
        <v>301</v>
      </c>
      <c r="F92" s="47" t="s">
        <v>302</v>
      </c>
      <c r="G92" s="47">
        <v>1.83</v>
      </c>
      <c r="H92" s="58" t="s">
        <v>303</v>
      </c>
      <c r="I92" s="48">
        <v>103326</v>
      </c>
      <c r="J92" s="47">
        <v>61803</v>
      </c>
      <c r="K92" s="47" t="s">
        <v>304</v>
      </c>
      <c r="L92" s="47" t="str">
        <f>IF(38.138*1.83=0," ",TEXT(,ROUND((38.138*1.83*19.16),2)))</f>
        <v>1337,23</v>
      </c>
      <c r="M92" s="47" t="s">
        <v>305</v>
      </c>
      <c r="N92" s="47" t="s">
        <v>306</v>
      </c>
      <c r="O92" s="49"/>
      <c r="P92" s="49"/>
      <c r="Q92" s="49"/>
      <c r="R92" s="49"/>
      <c r="S92" s="49"/>
      <c r="T92" s="50"/>
      <c r="U92" s="50"/>
      <c r="V92" s="50"/>
      <c r="W92" s="50"/>
      <c r="X92" s="50"/>
      <c r="Y92" s="50"/>
      <c r="Z92" s="50"/>
      <c r="AA92" s="50" t="s">
        <v>307</v>
      </c>
      <c r="AB92" s="50" t="s">
        <v>31</v>
      </c>
      <c r="AC92" s="50">
        <v>48239</v>
      </c>
      <c r="AD92" s="50">
        <v>30071</v>
      </c>
      <c r="AE92" s="50"/>
      <c r="AF92" s="50" t="s">
        <v>308</v>
      </c>
      <c r="AG92" s="50" t="s">
        <v>309</v>
      </c>
      <c r="AH92" s="50"/>
      <c r="AI92" s="50">
        <f>61803+845</f>
        <v>62648</v>
      </c>
    </row>
    <row r="93" spans="1:35" ht="66" x14ac:dyDescent="0.25">
      <c r="A93" s="44">
        <v>58</v>
      </c>
      <c r="B93" s="45" t="s">
        <v>310</v>
      </c>
      <c r="C93" s="46" t="str">
        <f t="shared" ca="1" si="2"/>
        <v xml:space="preserve">Антисептик-антипирен «ПИРИЛАКС-ТЕРМА» для древесины
кг
</v>
      </c>
      <c r="D93" s="44">
        <v>789.5</v>
      </c>
      <c r="E93" s="47">
        <v>15.16</v>
      </c>
      <c r="F93" s="47"/>
      <c r="G93" s="47">
        <v>15.16</v>
      </c>
      <c r="H93" s="58" t="s">
        <v>311</v>
      </c>
      <c r="I93" s="48">
        <v>128044</v>
      </c>
      <c r="J93" s="47"/>
      <c r="K93" s="47"/>
      <c r="L93" s="47" t="str">
        <f>IF(789.5*15.16=0," ",TEXT(,ROUND((789.5*15.16*10.698),2)))</f>
        <v>128042,44</v>
      </c>
      <c r="M93" s="47"/>
      <c r="N93" s="47"/>
      <c r="O93" s="49"/>
      <c r="P93" s="49"/>
      <c r="Q93" s="49"/>
      <c r="R93" s="49"/>
      <c r="S93" s="49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 t="s">
        <v>312</v>
      </c>
      <c r="AG93" s="50" t="s">
        <v>313</v>
      </c>
      <c r="AH93" s="50"/>
      <c r="AI93" s="50">
        <f>0+0</f>
        <v>0</v>
      </c>
    </row>
    <row r="94" spans="1:35" ht="118.8" x14ac:dyDescent="0.25">
      <c r="A94" s="44">
        <v>59</v>
      </c>
      <c r="B94" s="45" t="s">
        <v>314</v>
      </c>
      <c r="C94" s="46" t="str">
        <f t="shared" ca="1" si="2"/>
        <v xml:space="preserve">Устройство кровли из металлочерепицы по готовым прогонам: простая кровля
100 м2 кровли
64664 руб. НР 92%=120%*(0,85*0,9) от ФОТ (70287 руб.)
30926 руб.СП 44%=65%*(0,8*0,85) от ФОТ (70287 руб.)
</v>
      </c>
      <c r="D94" s="44">
        <v>10.5</v>
      </c>
      <c r="E94" s="47" t="s">
        <v>315</v>
      </c>
      <c r="F94" s="47" t="s">
        <v>316</v>
      </c>
      <c r="G94" s="47">
        <v>9149.44</v>
      </c>
      <c r="H94" s="58" t="s">
        <v>317</v>
      </c>
      <c r="I94" s="48">
        <v>419354</v>
      </c>
      <c r="J94" s="47">
        <v>67921</v>
      </c>
      <c r="K94" s="47" t="s">
        <v>318</v>
      </c>
      <c r="L94" s="47" t="str">
        <f>IF(10.5*9149.44=0," ",TEXT(,ROUND((10.5*9149.44*3.48),2)))</f>
        <v>334320,54</v>
      </c>
      <c r="M94" s="47" t="s">
        <v>319</v>
      </c>
      <c r="N94" s="47" t="s">
        <v>320</v>
      </c>
      <c r="O94" s="49"/>
      <c r="P94" s="49"/>
      <c r="Q94" s="49"/>
      <c r="R94" s="49"/>
      <c r="S94" s="49"/>
      <c r="T94" s="50"/>
      <c r="U94" s="50"/>
      <c r="V94" s="50"/>
      <c r="W94" s="50"/>
      <c r="X94" s="50"/>
      <c r="Y94" s="50"/>
      <c r="Z94" s="50"/>
      <c r="AA94" s="50" t="s">
        <v>79</v>
      </c>
      <c r="AB94" s="50" t="s">
        <v>80</v>
      </c>
      <c r="AC94" s="50">
        <v>64664</v>
      </c>
      <c r="AD94" s="50">
        <v>30926</v>
      </c>
      <c r="AE94" s="50"/>
      <c r="AF94" s="50" t="s">
        <v>321</v>
      </c>
      <c r="AG94" s="50" t="s">
        <v>57</v>
      </c>
      <c r="AH94" s="50"/>
      <c r="AI94" s="50">
        <f>67921+2366</f>
        <v>70287</v>
      </c>
    </row>
    <row r="95" spans="1:35" ht="52.8" x14ac:dyDescent="0.25">
      <c r="A95" s="44">
        <v>60</v>
      </c>
      <c r="B95" s="45" t="s">
        <v>322</v>
      </c>
      <c r="C95" s="46" t="str">
        <f t="shared" ca="1" si="2"/>
        <v xml:space="preserve">Металлочерепица «Монтеррей»
м2
</v>
      </c>
      <c r="D95" s="44">
        <v>-1281</v>
      </c>
      <c r="E95" s="47">
        <v>70.5</v>
      </c>
      <c r="F95" s="47"/>
      <c r="G95" s="47">
        <v>70.5</v>
      </c>
      <c r="H95" s="58" t="s">
        <v>323</v>
      </c>
      <c r="I95" s="48">
        <v>-331983</v>
      </c>
      <c r="J95" s="47"/>
      <c r="K95" s="47"/>
      <c r="L95" s="47" t="str">
        <f>IF(-1281*70.5=0," ",TEXT(,ROUND((-1281*70.5*3.676),2)))</f>
        <v>-331981,4</v>
      </c>
      <c r="M95" s="47"/>
      <c r="N95" s="47"/>
      <c r="O95" s="49"/>
      <c r="P95" s="49"/>
      <c r="Q95" s="49"/>
      <c r="R95" s="49"/>
      <c r="S95" s="49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 t="s">
        <v>324</v>
      </c>
      <c r="AG95" s="50" t="s">
        <v>148</v>
      </c>
      <c r="AH95" s="50"/>
      <c r="AI95" s="50">
        <f>0+0</f>
        <v>0</v>
      </c>
    </row>
    <row r="96" spans="1:35" ht="66" x14ac:dyDescent="0.25">
      <c r="A96" s="44">
        <v>61</v>
      </c>
      <c r="B96" s="45" t="s">
        <v>325</v>
      </c>
      <c r="C96" s="46" t="str">
        <f t="shared" ca="1" si="2"/>
        <v xml:space="preserve">Профилированный лист оцинкованный: НС44-1000-0,7
т
</v>
      </c>
      <c r="D96" s="44" t="s">
        <v>326</v>
      </c>
      <c r="E96" s="47">
        <v>10090.379999999999</v>
      </c>
      <c r="F96" s="47"/>
      <c r="G96" s="47">
        <v>10090.379999999999</v>
      </c>
      <c r="H96" s="58" t="s">
        <v>327</v>
      </c>
      <c r="I96" s="48">
        <v>438578</v>
      </c>
      <c r="J96" s="47"/>
      <c r="K96" s="47"/>
      <c r="L96" s="47" t="str">
        <f>IF(9.5865*10090.38=0," ",TEXT(,ROUND((9.5865*10090.38*4.534),2)))</f>
        <v>438580,29</v>
      </c>
      <c r="M96" s="47"/>
      <c r="N96" s="47"/>
      <c r="O96" s="49"/>
      <c r="P96" s="49"/>
      <c r="Q96" s="49"/>
      <c r="R96" s="49"/>
      <c r="S96" s="49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 t="s">
        <v>328</v>
      </c>
      <c r="AG96" s="50" t="s">
        <v>170</v>
      </c>
      <c r="AH96" s="50"/>
      <c r="AI96" s="50">
        <f>0+0</f>
        <v>0</v>
      </c>
    </row>
    <row r="97" spans="1:35" ht="66" x14ac:dyDescent="0.25">
      <c r="A97" s="44">
        <v>62</v>
      </c>
      <c r="B97" s="45" t="s">
        <v>329</v>
      </c>
      <c r="C97" s="46" t="str">
        <f t="shared" ca="1" si="2"/>
        <v xml:space="preserve">Сталь листовая оцинкованная толщиной листа: 0,55 мм
т
</v>
      </c>
      <c r="D97" s="44" t="s">
        <v>330</v>
      </c>
      <c r="E97" s="47">
        <v>10484</v>
      </c>
      <c r="F97" s="47"/>
      <c r="G97" s="47">
        <v>10484</v>
      </c>
      <c r="H97" s="58" t="s">
        <v>331</v>
      </c>
      <c r="I97" s="48">
        <v>38305</v>
      </c>
      <c r="J97" s="47"/>
      <c r="K97" s="47"/>
      <c r="L97" s="47" t="str">
        <f>IF(0.915*10484=0," ",TEXT(,ROUND((0.915*10484*3.993),2)))</f>
        <v>38304,29</v>
      </c>
      <c r="M97" s="47"/>
      <c r="N97" s="47"/>
      <c r="O97" s="49"/>
      <c r="P97" s="49"/>
      <c r="Q97" s="49"/>
      <c r="R97" s="49"/>
      <c r="S97" s="49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 t="s">
        <v>332</v>
      </c>
      <c r="AG97" s="50" t="s">
        <v>170</v>
      </c>
      <c r="AH97" s="50"/>
      <c r="AI97" s="50">
        <f>0+0</f>
        <v>0</v>
      </c>
    </row>
    <row r="98" spans="1:35" ht="66" x14ac:dyDescent="0.25">
      <c r="A98" s="44">
        <v>63</v>
      </c>
      <c r="B98" s="45" t="s">
        <v>333</v>
      </c>
      <c r="C98" s="46" t="str">
        <f t="shared" ca="1" si="2"/>
        <v xml:space="preserve">Сталь листовая оцинкованная толщиной листа: 0,55 мм
т
</v>
      </c>
      <c r="D98" s="44">
        <v>0.25719999999999998</v>
      </c>
      <c r="E98" s="47">
        <v>10484</v>
      </c>
      <c r="F98" s="47"/>
      <c r="G98" s="47">
        <v>10484</v>
      </c>
      <c r="H98" s="58" t="s">
        <v>331</v>
      </c>
      <c r="I98" s="48">
        <v>10765</v>
      </c>
      <c r="J98" s="47"/>
      <c r="K98" s="47"/>
      <c r="L98" s="47" t="str">
        <f>IF(0.2572*10484=0," ",TEXT(,ROUND((0.2572*10484*3.993),2)))</f>
        <v>10767,06</v>
      </c>
      <c r="M98" s="47"/>
      <c r="N98" s="47"/>
      <c r="O98" s="49"/>
      <c r="P98" s="49"/>
      <c r="Q98" s="49"/>
      <c r="R98" s="49"/>
      <c r="S98" s="49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 t="s">
        <v>332</v>
      </c>
      <c r="AG98" s="50" t="s">
        <v>170</v>
      </c>
      <c r="AH98" s="50"/>
      <c r="AI98" s="50">
        <f>0+0</f>
        <v>0</v>
      </c>
    </row>
    <row r="99" spans="1:35" ht="105.6" x14ac:dyDescent="0.25">
      <c r="A99" s="44">
        <v>64</v>
      </c>
      <c r="B99" s="45" t="s">
        <v>334</v>
      </c>
      <c r="C99" s="46" t="str">
        <f t="shared" ca="1" si="2"/>
        <v xml:space="preserve">Резка стального профилированного настила
1 м реза
2950 руб. НР 69%=90%*(0,85*0,9) от ФОТ (4276 руб.)
2480 руб.СП 58%=85%*(0,8*0,85) от ФОТ (4276 руб.)
</v>
      </c>
      <c r="D99" s="44">
        <v>72</v>
      </c>
      <c r="E99" s="47" t="s">
        <v>335</v>
      </c>
      <c r="F99" s="47">
        <v>0.55000000000000004</v>
      </c>
      <c r="G99" s="47"/>
      <c r="H99" s="58" t="s">
        <v>336</v>
      </c>
      <c r="I99" s="48">
        <v>4377</v>
      </c>
      <c r="J99" s="47">
        <v>4276</v>
      </c>
      <c r="K99" s="47">
        <v>102</v>
      </c>
      <c r="L99" s="47" t="str">
        <f>IF(72*0=0," ",TEXT(,ROUND((72*0*1),2)))</f>
        <v xml:space="preserve"> </v>
      </c>
      <c r="M99" s="47">
        <v>0.34</v>
      </c>
      <c r="N99" s="47">
        <v>24.48</v>
      </c>
      <c r="O99" s="49"/>
      <c r="P99" s="49"/>
      <c r="Q99" s="49"/>
      <c r="R99" s="49"/>
      <c r="S99" s="49"/>
      <c r="T99" s="50"/>
      <c r="U99" s="50"/>
      <c r="V99" s="50"/>
      <c r="W99" s="50"/>
      <c r="X99" s="50"/>
      <c r="Y99" s="50"/>
      <c r="Z99" s="50"/>
      <c r="AA99" s="50" t="s">
        <v>223</v>
      </c>
      <c r="AB99" s="50" t="s">
        <v>224</v>
      </c>
      <c r="AC99" s="50">
        <v>2950</v>
      </c>
      <c r="AD99" s="50">
        <v>2480</v>
      </c>
      <c r="AE99" s="50"/>
      <c r="AF99" s="50" t="s">
        <v>337</v>
      </c>
      <c r="AG99" s="50" t="s">
        <v>338</v>
      </c>
      <c r="AH99" s="50"/>
      <c r="AI99" s="50">
        <f>4276+0</f>
        <v>4276</v>
      </c>
    </row>
    <row r="100" spans="1:35" ht="105.6" x14ac:dyDescent="0.25">
      <c r="A100" s="44">
        <v>65</v>
      </c>
      <c r="B100" s="45" t="s">
        <v>339</v>
      </c>
      <c r="C100" s="46" t="str">
        <f t="shared" ca="1" si="2"/>
        <v xml:space="preserve">Устройство желобов: настенных
100 м желобов
22405 руб. НР 92%=120%*(0,85*0,9) от ФОТ (24353 руб.)
10715 руб.СП 44%=65%*(0,8*0,85) от ФОТ (24353 руб.)
</v>
      </c>
      <c r="D100" s="44">
        <v>1.6632</v>
      </c>
      <c r="E100" s="47" t="s">
        <v>340</v>
      </c>
      <c r="F100" s="47" t="s">
        <v>341</v>
      </c>
      <c r="G100" s="47">
        <v>17933.62</v>
      </c>
      <c r="H100" s="58" t="s">
        <v>342</v>
      </c>
      <c r="I100" s="48">
        <v>147765</v>
      </c>
      <c r="J100" s="47">
        <v>23356</v>
      </c>
      <c r="K100" s="47" t="s">
        <v>343</v>
      </c>
      <c r="L100" s="47" t="str">
        <f>IF(1.6632*17933.62=0," ",TEXT(,ROUND((1.6632*17933.62*3.93),2)))</f>
        <v>117220,88</v>
      </c>
      <c r="M100" s="47" t="s">
        <v>344</v>
      </c>
      <c r="N100" s="47" t="s">
        <v>345</v>
      </c>
      <c r="O100" s="49"/>
      <c r="P100" s="49"/>
      <c r="Q100" s="49"/>
      <c r="R100" s="49"/>
      <c r="S100" s="49"/>
      <c r="T100" s="50"/>
      <c r="U100" s="50"/>
      <c r="V100" s="50"/>
      <c r="W100" s="50"/>
      <c r="X100" s="50"/>
      <c r="Y100" s="50"/>
      <c r="Z100" s="50"/>
      <c r="AA100" s="50" t="s">
        <v>79</v>
      </c>
      <c r="AB100" s="50" t="s">
        <v>80</v>
      </c>
      <c r="AC100" s="50">
        <v>22405</v>
      </c>
      <c r="AD100" s="50">
        <v>10715</v>
      </c>
      <c r="AE100" s="50"/>
      <c r="AF100" s="50" t="s">
        <v>346</v>
      </c>
      <c r="AG100" s="50" t="s">
        <v>347</v>
      </c>
      <c r="AH100" s="50"/>
      <c r="AI100" s="50">
        <f>23356+997</f>
        <v>24353</v>
      </c>
    </row>
    <row r="101" spans="1:35" ht="79.2" x14ac:dyDescent="0.25">
      <c r="A101" s="44">
        <v>66</v>
      </c>
      <c r="B101" s="45" t="s">
        <v>348</v>
      </c>
      <c r="C101" s="46" t="str">
        <f t="shared" ca="1" si="2"/>
        <v xml:space="preserve">Доски обрезные хвойных пород длиной: 2-3,75 м, шириной 75-150 мм, толщиной 44 мм и более, III сорта
м3
</v>
      </c>
      <c r="D101" s="44">
        <v>-7.4009999999999998</v>
      </c>
      <c r="E101" s="47">
        <v>968</v>
      </c>
      <c r="F101" s="47"/>
      <c r="G101" s="47">
        <v>968</v>
      </c>
      <c r="H101" s="58" t="s">
        <v>349</v>
      </c>
      <c r="I101" s="48">
        <v>-39982</v>
      </c>
      <c r="J101" s="47"/>
      <c r="K101" s="47"/>
      <c r="L101" s="47" t="str">
        <f>IF(-7.401*968=0," ",TEXT(,ROUND((-7.401*968*5.581),2)))</f>
        <v>-39983,22</v>
      </c>
      <c r="M101" s="47"/>
      <c r="N101" s="47"/>
      <c r="O101" s="49"/>
      <c r="P101" s="49"/>
      <c r="Q101" s="49"/>
      <c r="R101" s="49"/>
      <c r="S101" s="49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 t="s">
        <v>350</v>
      </c>
      <c r="AG101" s="50" t="s">
        <v>180</v>
      </c>
      <c r="AH101" s="50"/>
      <c r="AI101" s="50">
        <f>0+0</f>
        <v>0</v>
      </c>
    </row>
    <row r="102" spans="1:35" ht="79.2" x14ac:dyDescent="0.25">
      <c r="A102" s="44">
        <v>67</v>
      </c>
      <c r="B102" s="45" t="s">
        <v>212</v>
      </c>
      <c r="C102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102" s="44">
        <v>7.4009999999999998</v>
      </c>
      <c r="E102" s="47">
        <v>1320</v>
      </c>
      <c r="F102" s="47"/>
      <c r="G102" s="47">
        <v>1320</v>
      </c>
      <c r="H102" s="58" t="s">
        <v>213</v>
      </c>
      <c r="I102" s="48">
        <v>40629</v>
      </c>
      <c r="J102" s="47"/>
      <c r="K102" s="47"/>
      <c r="L102" s="47" t="str">
        <f>IF(7.401*1320=0," ",TEXT(,ROUND((7.401*1320*4.159),2)))</f>
        <v>40630,6</v>
      </c>
      <c r="M102" s="47"/>
      <c r="N102" s="47"/>
      <c r="O102" s="49"/>
      <c r="P102" s="49"/>
      <c r="Q102" s="49"/>
      <c r="R102" s="49"/>
      <c r="S102" s="49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 t="s">
        <v>214</v>
      </c>
      <c r="AG102" s="50" t="s">
        <v>180</v>
      </c>
      <c r="AH102" s="50"/>
      <c r="AI102" s="50">
        <f>0+0</f>
        <v>0</v>
      </c>
    </row>
    <row r="103" spans="1:35" ht="66" x14ac:dyDescent="0.25">
      <c r="A103" s="44">
        <v>68</v>
      </c>
      <c r="B103" s="45" t="s">
        <v>351</v>
      </c>
      <c r="C103" s="46" t="str">
        <f t="shared" ca="1" si="2"/>
        <v xml:space="preserve">Сталь листовая оцинкованная толщиной листа: 0,7 мм
т
</v>
      </c>
      <c r="D103" s="44">
        <v>-1.8460000000000001</v>
      </c>
      <c r="E103" s="47">
        <v>11200</v>
      </c>
      <c r="F103" s="47"/>
      <c r="G103" s="47">
        <v>11200</v>
      </c>
      <c r="H103" s="58" t="s">
        <v>352</v>
      </c>
      <c r="I103" s="48">
        <v>-71825</v>
      </c>
      <c r="J103" s="47"/>
      <c r="K103" s="47"/>
      <c r="L103" s="47" t="str">
        <f>IF(-1.846*11200=0," ",TEXT(,ROUND((-1.846*11200*3.474),2)))</f>
        <v>-71825,64</v>
      </c>
      <c r="M103" s="47"/>
      <c r="N103" s="47"/>
      <c r="O103" s="49"/>
      <c r="P103" s="49"/>
      <c r="Q103" s="49"/>
      <c r="R103" s="49"/>
      <c r="S103" s="49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 t="s">
        <v>353</v>
      </c>
      <c r="AG103" s="50" t="s">
        <v>170</v>
      </c>
      <c r="AH103" s="50"/>
      <c r="AI103" s="50">
        <f>0+0</f>
        <v>0</v>
      </c>
    </row>
    <row r="104" spans="1:35" ht="66" x14ac:dyDescent="0.25">
      <c r="A104" s="44">
        <v>69</v>
      </c>
      <c r="B104" s="45" t="s">
        <v>329</v>
      </c>
      <c r="C104" s="46" t="str">
        <f t="shared" ca="1" si="2"/>
        <v xml:space="preserve">Сталь листовая оцинкованная толщиной листа: 0,55 мм
т
</v>
      </c>
      <c r="D104" s="44">
        <v>1.45</v>
      </c>
      <c r="E104" s="47">
        <v>10484</v>
      </c>
      <c r="F104" s="47"/>
      <c r="G104" s="47">
        <v>10484</v>
      </c>
      <c r="H104" s="58" t="s">
        <v>331</v>
      </c>
      <c r="I104" s="48">
        <v>60702</v>
      </c>
      <c r="J104" s="47"/>
      <c r="K104" s="47"/>
      <c r="L104" s="47" t="str">
        <f>IF(1.45*10484=0," ",TEXT(,ROUND((1.45*10484*3.993),2)))</f>
        <v>60700,79</v>
      </c>
      <c r="M104" s="47"/>
      <c r="N104" s="47"/>
      <c r="O104" s="49"/>
      <c r="P104" s="49"/>
      <c r="Q104" s="49"/>
      <c r="R104" s="49"/>
      <c r="S104" s="49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 t="s">
        <v>332</v>
      </c>
      <c r="AG104" s="50" t="s">
        <v>170</v>
      </c>
      <c r="AH104" s="50"/>
      <c r="AI104" s="50">
        <f>0+0</f>
        <v>0</v>
      </c>
    </row>
    <row r="105" spans="1:35" ht="105.6" x14ac:dyDescent="0.25">
      <c r="A105" s="44">
        <v>70</v>
      </c>
      <c r="B105" s="45" t="s">
        <v>354</v>
      </c>
      <c r="C105" s="46" t="str">
        <f t="shared" ca="1" si="2"/>
        <v xml:space="preserve">Ограждение кровель перилами
100 м ограждения
1695 руб. НР 92%=120%*(0,85*0,9) от ФОТ (1842 руб.)
810 руб.СП 44%=65%*(0,8*0,85) от ФОТ (1842 руб.)
</v>
      </c>
      <c r="D105" s="44">
        <v>1.4950000000000001</v>
      </c>
      <c r="E105" s="47" t="s">
        <v>355</v>
      </c>
      <c r="F105" s="47" t="s">
        <v>356</v>
      </c>
      <c r="G105" s="47">
        <v>3032.91</v>
      </c>
      <c r="H105" s="58" t="s">
        <v>75</v>
      </c>
      <c r="I105" s="48">
        <v>36808</v>
      </c>
      <c r="J105" s="47">
        <v>1707</v>
      </c>
      <c r="K105" s="47" t="s">
        <v>357</v>
      </c>
      <c r="L105" s="47" t="str">
        <f>IF(1.495*3032.91=0," ",TEXT(,ROUND((1.495*3032.91*7.51),2)))</f>
        <v>34051,85</v>
      </c>
      <c r="M105" s="47" t="s">
        <v>358</v>
      </c>
      <c r="N105" s="47" t="s">
        <v>359</v>
      </c>
      <c r="O105" s="49"/>
      <c r="P105" s="49"/>
      <c r="Q105" s="49"/>
      <c r="R105" s="49"/>
      <c r="S105" s="49"/>
      <c r="T105" s="50"/>
      <c r="U105" s="50"/>
      <c r="V105" s="50"/>
      <c r="W105" s="50"/>
      <c r="X105" s="50"/>
      <c r="Y105" s="50"/>
      <c r="Z105" s="50"/>
      <c r="AA105" s="50" t="s">
        <v>79</v>
      </c>
      <c r="AB105" s="50" t="s">
        <v>80</v>
      </c>
      <c r="AC105" s="50">
        <v>1695</v>
      </c>
      <c r="AD105" s="50">
        <v>810</v>
      </c>
      <c r="AE105" s="50"/>
      <c r="AF105" s="50" t="s">
        <v>360</v>
      </c>
      <c r="AG105" s="50" t="s">
        <v>83</v>
      </c>
      <c r="AH105" s="50"/>
      <c r="AI105" s="50">
        <f>1707+135</f>
        <v>1842</v>
      </c>
    </row>
    <row r="106" spans="1:35" ht="105.6" x14ac:dyDescent="0.25">
      <c r="A106" s="44">
        <v>71</v>
      </c>
      <c r="B106" s="45" t="s">
        <v>361</v>
      </c>
      <c r="C106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6" s="44">
        <v>0.89280000000000004</v>
      </c>
      <c r="E106" s="47">
        <v>10045</v>
      </c>
      <c r="F106" s="47"/>
      <c r="G106" s="47">
        <v>10045</v>
      </c>
      <c r="H106" s="58" t="s">
        <v>362</v>
      </c>
      <c r="I106" s="48">
        <v>67565</v>
      </c>
      <c r="J106" s="47"/>
      <c r="K106" s="47"/>
      <c r="L106" s="47" t="str">
        <f>IF(0.8928*10045=0," ",TEXT(,ROUND((0.8928*10045*7.534),2)))</f>
        <v>67566,24</v>
      </c>
      <c r="M106" s="47"/>
      <c r="N106" s="47"/>
      <c r="O106" s="49"/>
      <c r="P106" s="49"/>
      <c r="Q106" s="49"/>
      <c r="R106" s="49"/>
      <c r="S106" s="49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 t="s">
        <v>363</v>
      </c>
      <c r="AG106" s="50" t="s">
        <v>170</v>
      </c>
      <c r="AH106" s="50"/>
      <c r="AI106" s="50">
        <f>0+0</f>
        <v>0</v>
      </c>
    </row>
    <row r="107" spans="1:35" ht="132" x14ac:dyDescent="0.25">
      <c r="A107" s="44">
        <v>72</v>
      </c>
      <c r="B107" s="45" t="s">
        <v>364</v>
      </c>
      <c r="C107" s="46" t="str">
        <f t="shared" ca="1" si="2"/>
        <v xml:space="preserve">Масляная окраска металлических поверхностей: решеток, переплетов, труб диаметром менее 50 мм и т.п., количество окрасок 2
100 м2 окрашиваемой поверхности
4110 руб. НР 80%=105%*(0,85*0,9) от ФОТ (5138 руб.)
1901 руб.СП 37%=55%*(0,8*0,85) от ФОТ (5138 руб.)
</v>
      </c>
      <c r="D107" s="44">
        <v>0.42</v>
      </c>
      <c r="E107" s="47" t="s">
        <v>365</v>
      </c>
      <c r="F107" s="47" t="s">
        <v>366</v>
      </c>
      <c r="G107" s="47">
        <v>474.96</v>
      </c>
      <c r="H107" s="58" t="s">
        <v>367</v>
      </c>
      <c r="I107" s="48">
        <v>5737</v>
      </c>
      <c r="J107" s="47">
        <v>5138</v>
      </c>
      <c r="K107" s="47">
        <v>11</v>
      </c>
      <c r="L107" s="47" t="str">
        <f>IF(0.42*474.96=0," ",TEXT(,ROUND((0.42*474.96*2.95),2)))</f>
        <v>588,48</v>
      </c>
      <c r="M107" s="47" t="s">
        <v>368</v>
      </c>
      <c r="N107" s="47">
        <v>29.85</v>
      </c>
      <c r="O107" s="49"/>
      <c r="P107" s="49"/>
      <c r="Q107" s="49"/>
      <c r="R107" s="49"/>
      <c r="S107" s="49"/>
      <c r="T107" s="50"/>
      <c r="U107" s="50"/>
      <c r="V107" s="50"/>
      <c r="W107" s="50"/>
      <c r="X107" s="50"/>
      <c r="Y107" s="50"/>
      <c r="Z107" s="50"/>
      <c r="AA107" s="50" t="s">
        <v>369</v>
      </c>
      <c r="AB107" s="50" t="s">
        <v>370</v>
      </c>
      <c r="AC107" s="50">
        <v>4110</v>
      </c>
      <c r="AD107" s="50">
        <v>1901</v>
      </c>
      <c r="AE107" s="50"/>
      <c r="AF107" s="50" t="s">
        <v>371</v>
      </c>
      <c r="AG107" s="50" t="s">
        <v>372</v>
      </c>
      <c r="AH107" s="50"/>
      <c r="AI107" s="50">
        <f>5138+0</f>
        <v>5138</v>
      </c>
    </row>
    <row r="108" spans="1:35" ht="105.6" x14ac:dyDescent="0.25">
      <c r="A108" s="44">
        <v>73</v>
      </c>
      <c r="B108" s="45" t="s">
        <v>354</v>
      </c>
      <c r="C108" s="46" t="str">
        <f t="shared" ref="C108:C126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Снегозадержатели
100 м ограждения
1648 руб. НР 92%=120%*(0,85*0,9) от ФОТ (1791 руб.)
788 руб.СП 44%=65%*(0,8*0,85) от ФОТ (1791 руб.)
</v>
      </c>
      <c r="D108" s="44">
        <v>1.44</v>
      </c>
      <c r="E108" s="47" t="s">
        <v>355</v>
      </c>
      <c r="F108" s="47" t="s">
        <v>356</v>
      </c>
      <c r="G108" s="47">
        <v>3032.91</v>
      </c>
      <c r="H108" s="58" t="s">
        <v>75</v>
      </c>
      <c r="I108" s="48">
        <v>35463</v>
      </c>
      <c r="J108" s="47">
        <v>1656</v>
      </c>
      <c r="K108" s="47" t="s">
        <v>373</v>
      </c>
      <c r="L108" s="47" t="str">
        <f>IF(1.44*3032.91=0," ",TEXT(,ROUND((1.44*3032.91*7.51),2)))</f>
        <v>32799,1</v>
      </c>
      <c r="M108" s="47" t="s">
        <v>358</v>
      </c>
      <c r="N108" s="47" t="s">
        <v>374</v>
      </c>
      <c r="O108" s="49"/>
      <c r="P108" s="49"/>
      <c r="Q108" s="49"/>
      <c r="R108" s="49"/>
      <c r="S108" s="49"/>
      <c r="T108" s="50"/>
      <c r="U108" s="50"/>
      <c r="V108" s="50"/>
      <c r="W108" s="50"/>
      <c r="X108" s="50"/>
      <c r="Y108" s="50"/>
      <c r="Z108" s="50"/>
      <c r="AA108" s="50" t="s">
        <v>79</v>
      </c>
      <c r="AB108" s="50" t="s">
        <v>80</v>
      </c>
      <c r="AC108" s="50">
        <v>1648</v>
      </c>
      <c r="AD108" s="50">
        <v>788</v>
      </c>
      <c r="AE108" s="50"/>
      <c r="AF108" s="50" t="s">
        <v>375</v>
      </c>
      <c r="AG108" s="50" t="s">
        <v>83</v>
      </c>
      <c r="AH108" s="50"/>
      <c r="AI108" s="50">
        <f>1656+135</f>
        <v>1791</v>
      </c>
    </row>
    <row r="109" spans="1:35" ht="105.6" x14ac:dyDescent="0.25">
      <c r="A109" s="44">
        <v>74</v>
      </c>
      <c r="B109" s="45" t="s">
        <v>361</v>
      </c>
      <c r="C109" s="46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9" s="44">
        <v>-0.432</v>
      </c>
      <c r="E109" s="47">
        <v>10045</v>
      </c>
      <c r="F109" s="47"/>
      <c r="G109" s="47">
        <v>10045</v>
      </c>
      <c r="H109" s="58" t="s">
        <v>362</v>
      </c>
      <c r="I109" s="48">
        <v>-32690</v>
      </c>
      <c r="J109" s="47"/>
      <c r="K109" s="47"/>
      <c r="L109" s="47" t="str">
        <f>IF(-0.432*10045=0," ",TEXT(,ROUND((-0.432*10045*7.534),2)))</f>
        <v>-32693,34</v>
      </c>
      <c r="M109" s="47"/>
      <c r="N109" s="47"/>
      <c r="O109" s="49"/>
      <c r="P109" s="49"/>
      <c r="Q109" s="49"/>
      <c r="R109" s="49"/>
      <c r="S109" s="49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 t="s">
        <v>376</v>
      </c>
      <c r="AG109" s="50" t="s">
        <v>170</v>
      </c>
      <c r="AH109" s="50"/>
      <c r="AI109" s="50">
        <f>0+0</f>
        <v>0</v>
      </c>
    </row>
    <row r="110" spans="1:35" ht="66" x14ac:dyDescent="0.25">
      <c r="A110" s="44">
        <v>75</v>
      </c>
      <c r="B110" s="45" t="s">
        <v>377</v>
      </c>
      <c r="C110" s="46" t="str">
        <f t="shared" ca="1" si="3"/>
        <v xml:space="preserve">Снегозадержатель длиной 3000 мм 1800/1,18/3/5,56=91,45
м
</v>
      </c>
      <c r="D110" s="44">
        <v>144</v>
      </c>
      <c r="E110" s="47">
        <v>91.45</v>
      </c>
      <c r="F110" s="47"/>
      <c r="G110" s="47">
        <v>91.45</v>
      </c>
      <c r="H110" s="58" t="s">
        <v>150</v>
      </c>
      <c r="I110" s="48">
        <v>73220</v>
      </c>
      <c r="J110" s="47"/>
      <c r="K110" s="47"/>
      <c r="L110" s="47" t="str">
        <f>IF(144*91.45=0," ",TEXT(,ROUND((144*91.45*5.56),2)))</f>
        <v>73218,53</v>
      </c>
      <c r="M110" s="47"/>
      <c r="N110" s="47"/>
      <c r="O110" s="49"/>
      <c r="P110" s="49"/>
      <c r="Q110" s="49"/>
      <c r="R110" s="49"/>
      <c r="S110" s="49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 t="s">
        <v>378</v>
      </c>
      <c r="AG110" s="50" t="s">
        <v>379</v>
      </c>
      <c r="AH110" s="50"/>
      <c r="AI110" s="50">
        <f>0+0</f>
        <v>0</v>
      </c>
    </row>
    <row r="111" spans="1:35" ht="105.6" x14ac:dyDescent="0.25">
      <c r="A111" s="44">
        <v>76</v>
      </c>
      <c r="B111" s="45" t="s">
        <v>354</v>
      </c>
      <c r="C111" s="46" t="str">
        <f t="shared" ca="1" si="3"/>
        <v xml:space="preserve">Страховочный трос
100 м ограждения
653 руб. НР 92%=120%*(0,85*0,9) от ФОТ (710 руб.)
312 руб.СП 44%=65%*(0,8*0,85) от ФОТ (710 руб.)
</v>
      </c>
      <c r="D111" s="44">
        <v>0.57999999999999996</v>
      </c>
      <c r="E111" s="47" t="s">
        <v>355</v>
      </c>
      <c r="F111" s="47" t="s">
        <v>356</v>
      </c>
      <c r="G111" s="47">
        <v>3032.91</v>
      </c>
      <c r="H111" s="58" t="s">
        <v>75</v>
      </c>
      <c r="I111" s="48">
        <v>14273</v>
      </c>
      <c r="J111" s="47">
        <v>659</v>
      </c>
      <c r="K111" s="47" t="s">
        <v>380</v>
      </c>
      <c r="L111" s="47" t="str">
        <f>IF(0.58*3032.91=0," ",TEXT(,ROUND((0.58*3032.91*7.51),2)))</f>
        <v>13210,75</v>
      </c>
      <c r="M111" s="47" t="s">
        <v>358</v>
      </c>
      <c r="N111" s="47" t="s">
        <v>381</v>
      </c>
      <c r="O111" s="49"/>
      <c r="P111" s="49"/>
      <c r="Q111" s="49"/>
      <c r="R111" s="49"/>
      <c r="S111" s="49"/>
      <c r="T111" s="50"/>
      <c r="U111" s="50"/>
      <c r="V111" s="50"/>
      <c r="W111" s="50"/>
      <c r="X111" s="50"/>
      <c r="Y111" s="50"/>
      <c r="Z111" s="50"/>
      <c r="AA111" s="50" t="s">
        <v>79</v>
      </c>
      <c r="AB111" s="50" t="s">
        <v>80</v>
      </c>
      <c r="AC111" s="50">
        <v>653</v>
      </c>
      <c r="AD111" s="50">
        <v>312</v>
      </c>
      <c r="AE111" s="50"/>
      <c r="AF111" s="50" t="s">
        <v>382</v>
      </c>
      <c r="AG111" s="50" t="s">
        <v>83</v>
      </c>
      <c r="AH111" s="50"/>
      <c r="AI111" s="50">
        <f>659+51</f>
        <v>710</v>
      </c>
    </row>
    <row r="112" spans="1:35" ht="105.6" x14ac:dyDescent="0.25">
      <c r="A112" s="44">
        <v>77</v>
      </c>
      <c r="B112" s="45" t="s">
        <v>361</v>
      </c>
      <c r="C112" s="46" t="str">
        <f t="shared" ca="1" si="3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12" s="44">
        <v>-0.17399999999999999</v>
      </c>
      <c r="E112" s="47">
        <v>10045</v>
      </c>
      <c r="F112" s="47"/>
      <c r="G112" s="47">
        <v>10045</v>
      </c>
      <c r="H112" s="58" t="s">
        <v>362</v>
      </c>
      <c r="I112" s="48">
        <v>-13169</v>
      </c>
      <c r="J112" s="47"/>
      <c r="K112" s="47"/>
      <c r="L112" s="47" t="str">
        <f>IF(-0.174*10045=0," ",TEXT(,ROUND((-0.174*10045*7.534),2)))</f>
        <v>-13168,15</v>
      </c>
      <c r="M112" s="47"/>
      <c r="N112" s="47"/>
      <c r="O112" s="49"/>
      <c r="P112" s="49"/>
      <c r="Q112" s="49"/>
      <c r="R112" s="49"/>
      <c r="S112" s="49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 t="s">
        <v>383</v>
      </c>
      <c r="AG112" s="50" t="s">
        <v>170</v>
      </c>
      <c r="AH112" s="50"/>
      <c r="AI112" s="50">
        <f>0+0</f>
        <v>0</v>
      </c>
    </row>
    <row r="113" spans="1:35" ht="52.8" x14ac:dyDescent="0.25">
      <c r="A113" s="44">
        <v>78</v>
      </c>
      <c r="B113" s="45" t="s">
        <v>384</v>
      </c>
      <c r="C113" s="46" t="str">
        <f t="shared" ca="1" si="3"/>
        <v xml:space="preserve">Трос стальной
м
</v>
      </c>
      <c r="D113" s="44">
        <v>58</v>
      </c>
      <c r="E113" s="47">
        <v>12.03</v>
      </c>
      <c r="F113" s="47"/>
      <c r="G113" s="47">
        <v>12.03</v>
      </c>
      <c r="H113" s="58" t="s">
        <v>385</v>
      </c>
      <c r="I113" s="48">
        <v>4829</v>
      </c>
      <c r="J113" s="47"/>
      <c r="K113" s="47"/>
      <c r="L113" s="47" t="str">
        <f>IF(58*12.03=0," ",TEXT(,ROUND((58*12.03*6.919),2)))</f>
        <v>4827,66</v>
      </c>
      <c r="M113" s="47"/>
      <c r="N113" s="47"/>
      <c r="O113" s="49"/>
      <c r="P113" s="49"/>
      <c r="Q113" s="49"/>
      <c r="R113" s="49"/>
      <c r="S113" s="49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 t="s">
        <v>386</v>
      </c>
      <c r="AG113" s="50" t="s">
        <v>379</v>
      </c>
      <c r="AH113" s="50"/>
      <c r="AI113" s="50">
        <f>0+0</f>
        <v>0</v>
      </c>
    </row>
    <row r="114" spans="1:35" ht="79.2" x14ac:dyDescent="0.25">
      <c r="A114" s="44">
        <v>79</v>
      </c>
      <c r="B114" s="45" t="s">
        <v>387</v>
      </c>
      <c r="C114" s="46" t="str">
        <f t="shared" ca="1" si="3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14" s="44" t="s">
        <v>388</v>
      </c>
      <c r="E114" s="47">
        <v>10100</v>
      </c>
      <c r="F114" s="47"/>
      <c r="G114" s="47">
        <v>10100</v>
      </c>
      <c r="H114" s="58" t="s">
        <v>389</v>
      </c>
      <c r="I114" s="48">
        <v>89</v>
      </c>
      <c r="J114" s="47"/>
      <c r="K114" s="47"/>
      <c r="L114" s="47" t="str">
        <f>IF(0.0018*10100=0," ",TEXT(,ROUND((0.0018*10100*4.94),2)))</f>
        <v>89,81</v>
      </c>
      <c r="M114" s="47"/>
      <c r="N114" s="47"/>
      <c r="O114" s="49"/>
      <c r="P114" s="49"/>
      <c r="Q114" s="49"/>
      <c r="R114" s="49"/>
      <c r="S114" s="49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 t="s">
        <v>390</v>
      </c>
      <c r="AG114" s="50" t="s">
        <v>170</v>
      </c>
      <c r="AH114" s="50"/>
      <c r="AI114" s="50">
        <f>0+0</f>
        <v>0</v>
      </c>
    </row>
    <row r="115" spans="1:35" ht="105.6" x14ac:dyDescent="0.25">
      <c r="A115" s="44">
        <v>80</v>
      </c>
      <c r="B115" s="45" t="s">
        <v>354</v>
      </c>
      <c r="C115" s="46" t="str">
        <f t="shared" ca="1" si="3"/>
        <v xml:space="preserve">Устройство переходных лестниц  на кровле
100 м ограждения
234 руб. НР 92%=120%*(0,85*0,9) от ФОТ (254 руб.)
112 руб.СП 44%=65%*(0,8*0,85) от ФОТ (254 руб.)
</v>
      </c>
      <c r="D115" s="44">
        <v>0.2</v>
      </c>
      <c r="E115" s="47" t="s">
        <v>355</v>
      </c>
      <c r="F115" s="47" t="s">
        <v>356</v>
      </c>
      <c r="G115" s="47">
        <v>3032.91</v>
      </c>
      <c r="H115" s="58" t="s">
        <v>75</v>
      </c>
      <c r="I115" s="48">
        <v>4936</v>
      </c>
      <c r="J115" s="47">
        <v>237</v>
      </c>
      <c r="K115" s="47" t="s">
        <v>391</v>
      </c>
      <c r="L115" s="47" t="str">
        <f>IF(0.2*3032.91=0," ",TEXT(,ROUND((0.2*3032.91*7.51),2)))</f>
        <v>4555,43</v>
      </c>
      <c r="M115" s="47" t="s">
        <v>358</v>
      </c>
      <c r="N115" s="47" t="s">
        <v>392</v>
      </c>
      <c r="O115" s="49"/>
      <c r="P115" s="49"/>
      <c r="Q115" s="49"/>
      <c r="R115" s="49"/>
      <c r="S115" s="49"/>
      <c r="T115" s="50"/>
      <c r="U115" s="50"/>
      <c r="V115" s="50"/>
      <c r="W115" s="50"/>
      <c r="X115" s="50"/>
      <c r="Y115" s="50"/>
      <c r="Z115" s="50"/>
      <c r="AA115" s="50" t="s">
        <v>79</v>
      </c>
      <c r="AB115" s="50" t="s">
        <v>80</v>
      </c>
      <c r="AC115" s="50">
        <v>234</v>
      </c>
      <c r="AD115" s="50">
        <v>112</v>
      </c>
      <c r="AE115" s="50"/>
      <c r="AF115" s="50" t="s">
        <v>393</v>
      </c>
      <c r="AG115" s="50" t="s">
        <v>83</v>
      </c>
      <c r="AH115" s="50"/>
      <c r="AI115" s="50">
        <f>237+17</f>
        <v>254</v>
      </c>
    </row>
    <row r="116" spans="1:35" ht="105.6" x14ac:dyDescent="0.25">
      <c r="A116" s="44">
        <v>81</v>
      </c>
      <c r="B116" s="45" t="s">
        <v>361</v>
      </c>
      <c r="C116" s="46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4">
        <v>-0.06</v>
      </c>
      <c r="E116" s="47">
        <v>10045</v>
      </c>
      <c r="F116" s="47"/>
      <c r="G116" s="47">
        <v>10045</v>
      </c>
      <c r="H116" s="58" t="s">
        <v>362</v>
      </c>
      <c r="I116" s="48">
        <v>-4543</v>
      </c>
      <c r="J116" s="47"/>
      <c r="K116" s="47"/>
      <c r="L116" s="47" t="str">
        <f>IF(-0.06*10045=0," ",TEXT(,ROUND((-0.06*10045*7.534),2)))</f>
        <v>-4540,74</v>
      </c>
      <c r="M116" s="47"/>
      <c r="N116" s="47"/>
      <c r="O116" s="49"/>
      <c r="P116" s="49"/>
      <c r="Q116" s="49"/>
      <c r="R116" s="49"/>
      <c r="S116" s="49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 t="s">
        <v>376</v>
      </c>
      <c r="AG116" s="50" t="s">
        <v>170</v>
      </c>
      <c r="AH116" s="50"/>
      <c r="AI116" s="50">
        <f>0+0</f>
        <v>0</v>
      </c>
    </row>
    <row r="117" spans="1:35" ht="66" x14ac:dyDescent="0.25">
      <c r="A117" s="44">
        <v>82</v>
      </c>
      <c r="B117" s="45" t="s">
        <v>394</v>
      </c>
      <c r="C117" s="46" t="str">
        <f t="shared" ca="1" si="3"/>
        <v xml:space="preserve">Лестница кровельная длиной 5 м (2700+1800)/1,18/5,56=685,89
шт
</v>
      </c>
      <c r="D117" s="44">
        <v>4</v>
      </c>
      <c r="E117" s="47">
        <v>685.89</v>
      </c>
      <c r="F117" s="47"/>
      <c r="G117" s="47">
        <v>685.89</v>
      </c>
      <c r="H117" s="58" t="s">
        <v>150</v>
      </c>
      <c r="I117" s="48">
        <v>15257</v>
      </c>
      <c r="J117" s="47"/>
      <c r="K117" s="47"/>
      <c r="L117" s="47" t="str">
        <f>IF(4*685.89=0," ",TEXT(,ROUND((4*685.89*5.56),2)))</f>
        <v>15254,19</v>
      </c>
      <c r="M117" s="47"/>
      <c r="N117" s="47"/>
      <c r="O117" s="49"/>
      <c r="P117" s="49"/>
      <c r="Q117" s="49"/>
      <c r="R117" s="49"/>
      <c r="S117" s="49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 t="s">
        <v>395</v>
      </c>
      <c r="AG117" s="50" t="s">
        <v>396</v>
      </c>
      <c r="AH117" s="50"/>
      <c r="AI117" s="50">
        <f>0+0</f>
        <v>0</v>
      </c>
    </row>
    <row r="118" spans="1:35" ht="105.6" x14ac:dyDescent="0.25">
      <c r="A118" s="44">
        <v>83</v>
      </c>
      <c r="B118" s="45" t="s">
        <v>354</v>
      </c>
      <c r="C118" s="46" t="str">
        <f t="shared" ca="1" si="3"/>
        <v xml:space="preserve">Устройство переходных мостиков  на кровле
100 м ограждения
47 руб. НР 92%=120%*(0,85*0,9) от ФОТ (51 руб.)
22 руб.СП 44%=65%*(0,8*0,85) от ФОТ (51 руб.)
</v>
      </c>
      <c r="D118" s="44" t="s">
        <v>397</v>
      </c>
      <c r="E118" s="47" t="s">
        <v>355</v>
      </c>
      <c r="F118" s="47" t="s">
        <v>356</v>
      </c>
      <c r="G118" s="47">
        <v>3032.91</v>
      </c>
      <c r="H118" s="58" t="s">
        <v>75</v>
      </c>
      <c r="I118" s="48">
        <v>1232</v>
      </c>
      <c r="J118" s="47">
        <v>51</v>
      </c>
      <c r="K118" s="47">
        <v>40</v>
      </c>
      <c r="L118" s="47" t="str">
        <f>IF(0.05*3032.91=0," ",TEXT(,ROUND((0.05*3032.91*7.51),2)))</f>
        <v>1138,86</v>
      </c>
      <c r="M118" s="47" t="s">
        <v>358</v>
      </c>
      <c r="N118" s="47" t="s">
        <v>398</v>
      </c>
      <c r="O118" s="49"/>
      <c r="P118" s="49"/>
      <c r="Q118" s="49"/>
      <c r="R118" s="49"/>
      <c r="S118" s="49"/>
      <c r="T118" s="50"/>
      <c r="U118" s="50"/>
      <c r="V118" s="50"/>
      <c r="W118" s="50"/>
      <c r="X118" s="50"/>
      <c r="Y118" s="50"/>
      <c r="Z118" s="50"/>
      <c r="AA118" s="50" t="s">
        <v>79</v>
      </c>
      <c r="AB118" s="50" t="s">
        <v>80</v>
      </c>
      <c r="AC118" s="50">
        <v>47</v>
      </c>
      <c r="AD118" s="50">
        <v>22</v>
      </c>
      <c r="AE118" s="50"/>
      <c r="AF118" s="50" t="s">
        <v>399</v>
      </c>
      <c r="AG118" s="50" t="s">
        <v>83</v>
      </c>
      <c r="AH118" s="50"/>
      <c r="AI118" s="50">
        <f>51+0</f>
        <v>51</v>
      </c>
    </row>
    <row r="119" spans="1:35" ht="105.6" x14ac:dyDescent="0.25">
      <c r="A119" s="44">
        <v>84</v>
      </c>
      <c r="B119" s="45" t="s">
        <v>361</v>
      </c>
      <c r="C119" s="46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9" s="44">
        <v>-1.4999999999999999E-2</v>
      </c>
      <c r="E119" s="47">
        <v>10045</v>
      </c>
      <c r="F119" s="47"/>
      <c r="G119" s="47">
        <v>10045</v>
      </c>
      <c r="H119" s="58" t="s">
        <v>362</v>
      </c>
      <c r="I119" s="48">
        <v>-1138</v>
      </c>
      <c r="J119" s="47"/>
      <c r="K119" s="47"/>
      <c r="L119" s="47" t="str">
        <f>IF(-0.015*10045=0," ",TEXT(,ROUND((-0.015*10045*7.534),2)))</f>
        <v>-1135,19</v>
      </c>
      <c r="M119" s="47"/>
      <c r="N119" s="47"/>
      <c r="O119" s="49"/>
      <c r="P119" s="49"/>
      <c r="Q119" s="49"/>
      <c r="R119" s="49"/>
      <c r="S119" s="49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 t="s">
        <v>376</v>
      </c>
      <c r="AG119" s="50" t="s">
        <v>170</v>
      </c>
      <c r="AH119" s="50"/>
      <c r="AI119" s="50">
        <f>0+0</f>
        <v>0</v>
      </c>
    </row>
    <row r="120" spans="1:35" ht="66" x14ac:dyDescent="0.25">
      <c r="A120" s="44">
        <v>85</v>
      </c>
      <c r="B120" s="45" t="s">
        <v>400</v>
      </c>
      <c r="C120" s="46" t="str">
        <f t="shared" ca="1" si="3"/>
        <v xml:space="preserve">Переходный мостик 1250 мм 2250/1,18/5,56=342,95
шт
</v>
      </c>
      <c r="D120" s="44">
        <v>4</v>
      </c>
      <c r="E120" s="47">
        <v>342.95</v>
      </c>
      <c r="F120" s="47"/>
      <c r="G120" s="47">
        <v>342.95</v>
      </c>
      <c r="H120" s="58" t="s">
        <v>150</v>
      </c>
      <c r="I120" s="48">
        <v>7628</v>
      </c>
      <c r="J120" s="47"/>
      <c r="K120" s="47"/>
      <c r="L120" s="47" t="str">
        <f>IF(4*342.95=0," ",TEXT(,ROUND((4*342.95*5.56),2)))</f>
        <v>7627,21</v>
      </c>
      <c r="M120" s="47"/>
      <c r="N120" s="47"/>
      <c r="O120" s="49"/>
      <c r="P120" s="49"/>
      <c r="Q120" s="49"/>
      <c r="R120" s="49"/>
      <c r="S120" s="49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 t="s">
        <v>401</v>
      </c>
      <c r="AG120" s="50" t="s">
        <v>396</v>
      </c>
      <c r="AH120" s="50"/>
      <c r="AI120" s="50">
        <f>0+0</f>
        <v>0</v>
      </c>
    </row>
    <row r="121" spans="1:35" ht="92.4" x14ac:dyDescent="0.25">
      <c r="A121" s="44">
        <v>86</v>
      </c>
      <c r="B121" s="45" t="s">
        <v>402</v>
      </c>
      <c r="C121" s="46" t="str">
        <f t="shared" ca="1" si="3"/>
        <v xml:space="preserve">Перенавеска водосточных труб: с земли, лестниц или подмостей
100 м труб
7008 руб. НР 71%=83%*0,85 от ФОТ (9870 руб.)
5132 руб.СП 52%=65%*0,8 от ФОТ (9870 руб.)
</v>
      </c>
      <c r="D121" s="44">
        <v>1.1200000000000001</v>
      </c>
      <c r="E121" s="47" t="s">
        <v>403</v>
      </c>
      <c r="F121" s="47"/>
      <c r="G121" s="47">
        <v>8.02</v>
      </c>
      <c r="H121" s="58" t="s">
        <v>404</v>
      </c>
      <c r="I121" s="48">
        <v>9901</v>
      </c>
      <c r="J121" s="47">
        <v>9870</v>
      </c>
      <c r="K121" s="47"/>
      <c r="L121" s="47" t="str">
        <f>IF(1.12*8.02=0," ",TEXT(,ROUND((1.12*8.02*3.39),2)))</f>
        <v>30,45</v>
      </c>
      <c r="M121" s="47">
        <v>60.4</v>
      </c>
      <c r="N121" s="47">
        <v>67.650000000000006</v>
      </c>
      <c r="O121" s="49"/>
      <c r="P121" s="49"/>
      <c r="Q121" s="49"/>
      <c r="R121" s="49"/>
      <c r="S121" s="49"/>
      <c r="T121" s="50"/>
      <c r="U121" s="50"/>
      <c r="V121" s="50"/>
      <c r="W121" s="50"/>
      <c r="X121" s="50"/>
      <c r="Y121" s="50"/>
      <c r="Z121" s="50"/>
      <c r="AA121" s="50" t="s">
        <v>40</v>
      </c>
      <c r="AB121" s="50" t="s">
        <v>41</v>
      </c>
      <c r="AC121" s="50">
        <v>7008</v>
      </c>
      <c r="AD121" s="50">
        <v>5132</v>
      </c>
      <c r="AE121" s="50"/>
      <c r="AF121" s="50" t="s">
        <v>405</v>
      </c>
      <c r="AG121" s="50" t="s">
        <v>406</v>
      </c>
      <c r="AH121" s="50"/>
      <c r="AI121" s="50">
        <f>9870+0</f>
        <v>9870</v>
      </c>
    </row>
    <row r="122" spans="1:35" ht="79.2" x14ac:dyDescent="0.25">
      <c r="A122" s="44">
        <v>87</v>
      </c>
      <c r="B122" s="45" t="s">
        <v>407</v>
      </c>
      <c r="C122" s="46" t="str">
        <f t="shared" ca="1" si="3"/>
        <v xml:space="preserve">Звенья водосточных труб из оцинкованной стали толщиной 0,55 мм, диаметром 140 мм, марка ТВ-140
м
</v>
      </c>
      <c r="D122" s="44">
        <v>112</v>
      </c>
      <c r="E122" s="47">
        <v>56.5</v>
      </c>
      <c r="F122" s="47"/>
      <c r="G122" s="47">
        <v>56.5</v>
      </c>
      <c r="H122" s="58" t="s">
        <v>408</v>
      </c>
      <c r="I122" s="48">
        <v>16788</v>
      </c>
      <c r="J122" s="47"/>
      <c r="K122" s="47"/>
      <c r="L122" s="47" t="str">
        <f>IF(112*56.5=0," ",TEXT(,ROUND((112*56.5*2.653),2)))</f>
        <v>16788,18</v>
      </c>
      <c r="M122" s="47"/>
      <c r="N122" s="47"/>
      <c r="O122" s="49"/>
      <c r="P122" s="49"/>
      <c r="Q122" s="49"/>
      <c r="R122" s="49"/>
      <c r="S122" s="49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 t="s">
        <v>409</v>
      </c>
      <c r="AG122" s="50" t="s">
        <v>379</v>
      </c>
      <c r="AH122" s="50"/>
      <c r="AI122" s="50">
        <f>0+0</f>
        <v>0</v>
      </c>
    </row>
    <row r="123" spans="1:35" ht="66" x14ac:dyDescent="0.25">
      <c r="A123" s="44">
        <v>88</v>
      </c>
      <c r="B123" s="45" t="s">
        <v>410</v>
      </c>
      <c r="C123" s="46" t="str">
        <f t="shared" ca="1" si="3"/>
        <v xml:space="preserve">Воронка водосточная из оцинкованной стали толщиной 0,55 диаметром 215 мм
шт.
</v>
      </c>
      <c r="D123" s="44">
        <v>8</v>
      </c>
      <c r="E123" s="47">
        <v>67.8</v>
      </c>
      <c r="F123" s="47"/>
      <c r="G123" s="47">
        <v>67.8</v>
      </c>
      <c r="H123" s="58" t="s">
        <v>411</v>
      </c>
      <c r="I123" s="48">
        <v>1625</v>
      </c>
      <c r="J123" s="47"/>
      <c r="K123" s="47"/>
      <c r="L123" s="47" t="str">
        <f>IF(8*67.8=0," ",TEXT(,ROUND((8*67.8*2.999),2)))</f>
        <v>1626,66</v>
      </c>
      <c r="M123" s="47"/>
      <c r="N123" s="47"/>
      <c r="O123" s="49"/>
      <c r="P123" s="49"/>
      <c r="Q123" s="49"/>
      <c r="R123" s="49"/>
      <c r="S123" s="49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 t="s">
        <v>412</v>
      </c>
      <c r="AG123" s="50" t="s">
        <v>229</v>
      </c>
      <c r="AH123" s="50"/>
      <c r="AI123" s="50">
        <f>0+0</f>
        <v>0</v>
      </c>
    </row>
    <row r="124" spans="1:35" ht="66" x14ac:dyDescent="0.25">
      <c r="A124" s="44">
        <v>89</v>
      </c>
      <c r="B124" s="45" t="s">
        <v>413</v>
      </c>
      <c r="C124" s="46" t="str">
        <f t="shared" ca="1" si="3"/>
        <v xml:space="preserve">Колено из оцинкованной стали толщиной 0,55 мм, диаметром 140 мм, марка ТВ-140
шт.
</v>
      </c>
      <c r="D124" s="44">
        <v>16</v>
      </c>
      <c r="E124" s="47">
        <v>34.799999999999997</v>
      </c>
      <c r="F124" s="47"/>
      <c r="G124" s="47">
        <v>34.799999999999997</v>
      </c>
      <c r="H124" s="58" t="s">
        <v>414</v>
      </c>
      <c r="I124" s="48">
        <v>2236</v>
      </c>
      <c r="J124" s="47"/>
      <c r="K124" s="47"/>
      <c r="L124" s="47" t="str">
        <f>IF(16*34.8=0," ",TEXT(,ROUND((16*34.8*4.014),2)))</f>
        <v>2235</v>
      </c>
      <c r="M124" s="47"/>
      <c r="N124" s="47"/>
      <c r="O124" s="49"/>
      <c r="P124" s="49"/>
      <c r="Q124" s="49"/>
      <c r="R124" s="49"/>
      <c r="S124" s="49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 t="s">
        <v>415</v>
      </c>
      <c r="AG124" s="50" t="s">
        <v>229</v>
      </c>
      <c r="AH124" s="50"/>
      <c r="AI124" s="50">
        <f>0+0</f>
        <v>0</v>
      </c>
    </row>
    <row r="125" spans="1:35" ht="66" x14ac:dyDescent="0.25">
      <c r="A125" s="44">
        <v>90</v>
      </c>
      <c r="B125" s="45" t="s">
        <v>416</v>
      </c>
      <c r="C125" s="46" t="str">
        <f t="shared" ca="1" si="3"/>
        <v xml:space="preserve">Отливы (отметы) из оцинкованной стали толщиной 0,55 мм диаметром 140 мм
шт.
</v>
      </c>
      <c r="D125" s="44">
        <v>8</v>
      </c>
      <c r="E125" s="47">
        <v>35.9</v>
      </c>
      <c r="F125" s="47"/>
      <c r="G125" s="47">
        <v>35.9</v>
      </c>
      <c r="H125" s="58" t="s">
        <v>417</v>
      </c>
      <c r="I125" s="48">
        <v>1120</v>
      </c>
      <c r="J125" s="47"/>
      <c r="K125" s="47"/>
      <c r="L125" s="47" t="str">
        <f>IF(8*35.9=0," ",TEXT(,ROUND((8*35.9*3.901),2)))</f>
        <v>1120,37</v>
      </c>
      <c r="M125" s="47"/>
      <c r="N125" s="47"/>
      <c r="O125" s="49"/>
      <c r="P125" s="49"/>
      <c r="Q125" s="49"/>
      <c r="R125" s="49"/>
      <c r="S125" s="49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 t="s">
        <v>418</v>
      </c>
      <c r="AG125" s="50" t="s">
        <v>229</v>
      </c>
      <c r="AH125" s="50"/>
      <c r="AI125" s="50">
        <f>0+0</f>
        <v>0</v>
      </c>
    </row>
    <row r="126" spans="1:35" ht="66" x14ac:dyDescent="0.25">
      <c r="A126" s="52">
        <v>91</v>
      </c>
      <c r="B126" s="53" t="s">
        <v>419</v>
      </c>
      <c r="C126" s="54" t="str">
        <f t="shared" ca="1" si="3"/>
        <v xml:space="preserve">Поковки из квадратных заготовок, масса 1,8 кг хомуты
т
</v>
      </c>
      <c r="D126" s="52" t="s">
        <v>420</v>
      </c>
      <c r="E126" s="55">
        <v>5989</v>
      </c>
      <c r="F126" s="55"/>
      <c r="G126" s="55">
        <v>5989</v>
      </c>
      <c r="H126" s="56" t="s">
        <v>421</v>
      </c>
      <c r="I126" s="57">
        <v>4786</v>
      </c>
      <c r="J126" s="55"/>
      <c r="K126" s="55"/>
      <c r="L126" s="55" t="str">
        <f>IF(0.1872*5989=0," ",TEXT(,ROUND((0.1872*5989*4.269),2)))</f>
        <v>4786,15</v>
      </c>
      <c r="M126" s="55"/>
      <c r="N126" s="55"/>
      <c r="O126" s="49"/>
      <c r="P126" s="49"/>
      <c r="Q126" s="49"/>
      <c r="R126" s="49"/>
      <c r="S126" s="49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 t="s">
        <v>422</v>
      </c>
      <c r="AG126" s="50" t="s">
        <v>170</v>
      </c>
      <c r="AH126" s="50"/>
      <c r="AI126" s="50">
        <f>0+0</f>
        <v>0</v>
      </c>
    </row>
    <row r="127" spans="1:35" ht="26.4" x14ac:dyDescent="0.25">
      <c r="A127" s="70" t="s">
        <v>124</v>
      </c>
      <c r="B127" s="65"/>
      <c r="C127" s="65"/>
      <c r="D127" s="65"/>
      <c r="E127" s="65"/>
      <c r="F127" s="65"/>
      <c r="G127" s="65"/>
      <c r="H127" s="65"/>
      <c r="I127" s="48">
        <v>372175</v>
      </c>
      <c r="J127" s="47">
        <v>20779</v>
      </c>
      <c r="K127" s="47" t="s">
        <v>423</v>
      </c>
      <c r="L127" s="47">
        <v>344446</v>
      </c>
      <c r="M127" s="47"/>
      <c r="N127" s="47" t="s">
        <v>424</v>
      </c>
      <c r="O127" s="17"/>
      <c r="P127" s="18"/>
      <c r="Q127" s="17"/>
      <c r="R127" s="17"/>
      <c r="S127" s="17"/>
    </row>
    <row r="128" spans="1:35" ht="26.4" x14ac:dyDescent="0.25">
      <c r="A128" s="70" t="s">
        <v>232</v>
      </c>
      <c r="B128" s="65"/>
      <c r="C128" s="65"/>
      <c r="D128" s="65"/>
      <c r="E128" s="65"/>
      <c r="F128" s="65"/>
      <c r="G128" s="65"/>
      <c r="H128" s="65"/>
      <c r="I128" s="48">
        <v>376472</v>
      </c>
      <c r="J128" s="47">
        <v>23435</v>
      </c>
      <c r="K128" s="47" t="s">
        <v>425</v>
      </c>
      <c r="L128" s="47">
        <v>344446</v>
      </c>
      <c r="M128" s="47"/>
      <c r="N128" s="47" t="s">
        <v>426</v>
      </c>
      <c r="O128" s="17"/>
      <c r="P128" s="18"/>
      <c r="Q128" s="17"/>
      <c r="R128" s="17"/>
      <c r="S128" s="17"/>
    </row>
    <row r="129" spans="1:35" x14ac:dyDescent="0.25">
      <c r="A129" s="70" t="s">
        <v>235</v>
      </c>
      <c r="B129" s="65"/>
      <c r="C129" s="65"/>
      <c r="D129" s="65"/>
      <c r="E129" s="65"/>
      <c r="F129" s="65"/>
      <c r="G129" s="65"/>
      <c r="H129" s="65"/>
      <c r="I129" s="48"/>
      <c r="J129" s="47"/>
      <c r="K129" s="47"/>
      <c r="L129" s="47"/>
      <c r="M129" s="47"/>
      <c r="N129" s="47"/>
      <c r="O129" s="17"/>
      <c r="P129" s="18"/>
      <c r="Q129" s="17"/>
      <c r="R129" s="17"/>
      <c r="S129" s="17"/>
    </row>
    <row r="130" spans="1:35" ht="27.9" customHeight="1" x14ac:dyDescent="0.25">
      <c r="A130" s="70" t="s">
        <v>427</v>
      </c>
      <c r="B130" s="65"/>
      <c r="C130" s="65"/>
      <c r="D130" s="65"/>
      <c r="E130" s="65"/>
      <c r="F130" s="65"/>
      <c r="G130" s="65"/>
      <c r="H130" s="65"/>
      <c r="I130" s="48">
        <v>4297</v>
      </c>
      <c r="J130" s="47">
        <v>2657</v>
      </c>
      <c r="K130" s="47" t="s">
        <v>428</v>
      </c>
      <c r="L130" s="47"/>
      <c r="M130" s="47"/>
      <c r="N130" s="47" t="s">
        <v>429</v>
      </c>
      <c r="O130" s="17"/>
      <c r="P130" s="18"/>
      <c r="Q130" s="17"/>
      <c r="R130" s="17"/>
      <c r="S130" s="17"/>
    </row>
    <row r="131" spans="1:35" ht="26.4" x14ac:dyDescent="0.25">
      <c r="A131" s="70" t="s">
        <v>127</v>
      </c>
      <c r="B131" s="65"/>
      <c r="C131" s="65"/>
      <c r="D131" s="65"/>
      <c r="E131" s="65"/>
      <c r="F131" s="65"/>
      <c r="G131" s="65"/>
      <c r="H131" s="65"/>
      <c r="I131" s="48">
        <v>2038656</v>
      </c>
      <c r="J131" s="47">
        <v>396054</v>
      </c>
      <c r="K131" s="47" t="s">
        <v>430</v>
      </c>
      <c r="L131" s="47">
        <v>1546547</v>
      </c>
      <c r="M131" s="47"/>
      <c r="N131" s="47" t="s">
        <v>426</v>
      </c>
      <c r="O131" s="17"/>
      <c r="P131" s="18"/>
      <c r="Q131" s="17"/>
      <c r="R131" s="17"/>
      <c r="S131" s="17"/>
    </row>
    <row r="132" spans="1:35" x14ac:dyDescent="0.25">
      <c r="A132" s="70" t="s">
        <v>129</v>
      </c>
      <c r="B132" s="65"/>
      <c r="C132" s="65"/>
      <c r="D132" s="65"/>
      <c r="E132" s="65"/>
      <c r="F132" s="65"/>
      <c r="G132" s="65"/>
      <c r="H132" s="65"/>
      <c r="I132" s="48">
        <v>345542</v>
      </c>
      <c r="J132" s="47"/>
      <c r="K132" s="47"/>
      <c r="L132" s="47"/>
      <c r="M132" s="47"/>
      <c r="N132" s="47"/>
      <c r="O132" s="17"/>
      <c r="P132" s="18"/>
      <c r="Q132" s="17"/>
      <c r="R132" s="17"/>
      <c r="S132" s="17"/>
    </row>
    <row r="133" spans="1:35" x14ac:dyDescent="0.25">
      <c r="A133" s="70" t="s">
        <v>130</v>
      </c>
      <c r="B133" s="65"/>
      <c r="C133" s="65"/>
      <c r="D133" s="65"/>
      <c r="E133" s="65"/>
      <c r="F133" s="65"/>
      <c r="G133" s="65"/>
      <c r="H133" s="65"/>
      <c r="I133" s="48">
        <v>182694</v>
      </c>
      <c r="J133" s="47"/>
      <c r="K133" s="47"/>
      <c r="L133" s="47"/>
      <c r="M133" s="47"/>
      <c r="N133" s="47"/>
      <c r="O133" s="17"/>
      <c r="P133" s="18"/>
      <c r="Q133" s="17"/>
      <c r="R133" s="17"/>
      <c r="S133" s="17"/>
    </row>
    <row r="134" spans="1:35" ht="26.4" x14ac:dyDescent="0.25">
      <c r="A134" s="71" t="s">
        <v>431</v>
      </c>
      <c r="B134" s="72"/>
      <c r="C134" s="72"/>
      <c r="D134" s="72"/>
      <c r="E134" s="72"/>
      <c r="F134" s="72"/>
      <c r="G134" s="72"/>
      <c r="H134" s="72"/>
      <c r="I134" s="59">
        <v>2566892</v>
      </c>
      <c r="J134" s="60"/>
      <c r="K134" s="60"/>
      <c r="L134" s="60"/>
      <c r="M134" s="60"/>
      <c r="N134" s="60" t="s">
        <v>426</v>
      </c>
      <c r="O134" s="17"/>
      <c r="P134" s="18"/>
      <c r="Q134" s="17"/>
      <c r="R134" s="17"/>
      <c r="S134" s="17"/>
    </row>
    <row r="135" spans="1:35" ht="21" customHeight="1" x14ac:dyDescent="0.25">
      <c r="A135" s="68" t="s">
        <v>432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</row>
    <row r="136" spans="1:35" ht="105.6" x14ac:dyDescent="0.25">
      <c r="A136" s="44">
        <v>92</v>
      </c>
      <c r="B136" s="45" t="s">
        <v>433</v>
      </c>
      <c r="C136" s="46" t="str">
        <f t="shared" ref="C136:C148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9100 руб. НР 93%=122%*(0,85*0,9) от ФОТ (9785 руб.)
5284 руб.СП 54%=80%*(0,8*0,85) от ФОТ (9785 руб.)
</v>
      </c>
      <c r="D136" s="44">
        <v>7.86</v>
      </c>
      <c r="E136" s="47" t="s">
        <v>434</v>
      </c>
      <c r="F136" s="47" t="s">
        <v>435</v>
      </c>
      <c r="G136" s="47">
        <v>823.32</v>
      </c>
      <c r="H136" s="58" t="s">
        <v>99</v>
      </c>
      <c r="I136" s="48">
        <v>43085</v>
      </c>
      <c r="J136" s="47">
        <v>8974</v>
      </c>
      <c r="K136" s="47" t="s">
        <v>436</v>
      </c>
      <c r="L136" s="47" t="str">
        <f>IF(7.86*823.32=0," ",TEXT(,ROUND((7.86*823.32*4.7),2)))</f>
        <v>30415,09</v>
      </c>
      <c r="M136" s="47" t="s">
        <v>437</v>
      </c>
      <c r="N136" s="47" t="s">
        <v>438</v>
      </c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 t="s">
        <v>103</v>
      </c>
      <c r="AB136" s="50" t="s">
        <v>104</v>
      </c>
      <c r="AC136" s="50">
        <v>9100</v>
      </c>
      <c r="AD136" s="50">
        <v>5284</v>
      </c>
      <c r="AE136" s="50"/>
      <c r="AF136" s="50" t="s">
        <v>439</v>
      </c>
      <c r="AG136" s="50" t="s">
        <v>107</v>
      </c>
      <c r="AH136" s="50"/>
      <c r="AI136" s="50">
        <f>8974+811</f>
        <v>9785</v>
      </c>
    </row>
    <row r="137" spans="1:35" ht="105.6" x14ac:dyDescent="0.25">
      <c r="A137" s="44">
        <v>93</v>
      </c>
      <c r="B137" s="45" t="s">
        <v>440</v>
      </c>
      <c r="C137" s="46" t="str">
        <f t="shared" ca="1" si="4"/>
        <v xml:space="preserve">Установка элементов каркаса: из брусьев
1 м3 древесины в конструкции
1673 руб. НР 90%=118%*(0,85*0,9) от ФОТ (1859 руб.)
799 руб.СП 43%=63%*(0,8*0,85) от ФОТ (1859 руб.)
</v>
      </c>
      <c r="D137" s="44">
        <v>0.51</v>
      </c>
      <c r="E137" s="47" t="s">
        <v>216</v>
      </c>
      <c r="F137" s="47">
        <v>33.51</v>
      </c>
      <c r="G137" s="47">
        <v>2189</v>
      </c>
      <c r="H137" s="58" t="s">
        <v>217</v>
      </c>
      <c r="I137" s="48">
        <v>5863</v>
      </c>
      <c r="J137" s="47">
        <v>1859</v>
      </c>
      <c r="K137" s="47">
        <v>241</v>
      </c>
      <c r="L137" s="47" t="str">
        <f>IF(0.51*2189=0," ",TEXT(,ROUND((0.51*2189*3.37),2)))</f>
        <v>3762,23</v>
      </c>
      <c r="M137" s="47">
        <v>22.5</v>
      </c>
      <c r="N137" s="47">
        <v>11.48</v>
      </c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 t="s">
        <v>91</v>
      </c>
      <c r="AB137" s="50" t="s">
        <v>92</v>
      </c>
      <c r="AC137" s="50">
        <v>1673</v>
      </c>
      <c r="AD137" s="50">
        <v>799</v>
      </c>
      <c r="AE137" s="50"/>
      <c r="AF137" s="50" t="s">
        <v>218</v>
      </c>
      <c r="AG137" s="50" t="s">
        <v>219</v>
      </c>
      <c r="AH137" s="50"/>
      <c r="AI137" s="50">
        <f>1859+0</f>
        <v>1859</v>
      </c>
    </row>
    <row r="138" spans="1:35" ht="145.19999999999999" x14ac:dyDescent="0.25">
      <c r="A138" s="44">
        <v>94</v>
      </c>
      <c r="B138" s="45" t="s">
        <v>441</v>
      </c>
      <c r="C138" s="46" t="str">
        <f t="shared" ca="1" si="4"/>
        <v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
100 м2 поверхности
521 руб. НР 77%=100%*(0,85*0,9) от ФОТ (676 руб.)
324 руб.СП 48%=70%*(0,8*0,85) от ФОТ (676 руб.)
</v>
      </c>
      <c r="D138" s="44">
        <v>0.30599999999999999</v>
      </c>
      <c r="E138" s="47" t="s">
        <v>442</v>
      </c>
      <c r="F138" s="47" t="s">
        <v>443</v>
      </c>
      <c r="G138" s="47">
        <v>43.45</v>
      </c>
      <c r="H138" s="58" t="s">
        <v>444</v>
      </c>
      <c r="I138" s="48">
        <v>734</v>
      </c>
      <c r="J138" s="47">
        <v>676</v>
      </c>
      <c r="K138" s="47">
        <v>40</v>
      </c>
      <c r="L138" s="47" t="str">
        <f>IF(0.306*43.45=0," ",TEXT(,ROUND((0.306*43.45*1.39),2)))</f>
        <v>18,48</v>
      </c>
      <c r="M138" s="47" t="s">
        <v>445</v>
      </c>
      <c r="N138" s="47" t="s">
        <v>446</v>
      </c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 t="s">
        <v>307</v>
      </c>
      <c r="AB138" s="50" t="s">
        <v>31</v>
      </c>
      <c r="AC138" s="50">
        <v>521</v>
      </c>
      <c r="AD138" s="50">
        <v>324</v>
      </c>
      <c r="AE138" s="50"/>
      <c r="AF138" s="50" t="s">
        <v>447</v>
      </c>
      <c r="AG138" s="50" t="s">
        <v>448</v>
      </c>
      <c r="AH138" s="50"/>
      <c r="AI138" s="50">
        <f>676+0</f>
        <v>676</v>
      </c>
    </row>
    <row r="139" spans="1:35" ht="92.4" x14ac:dyDescent="0.25">
      <c r="A139" s="44">
        <v>95</v>
      </c>
      <c r="B139" s="45" t="s">
        <v>196</v>
      </c>
      <c r="C139" s="46" t="str">
        <f t="shared" ca="1" si="4"/>
        <v xml:space="preserve">Плиты теплоизоляционные энергетические гидрофобизированные базальтовые: ПТЭ-125 , размером 2000х1000х50 мм 4146,89/5,56=745,84
м3
</v>
      </c>
      <c r="D139" s="44" t="s">
        <v>449</v>
      </c>
      <c r="E139" s="47">
        <v>745.84</v>
      </c>
      <c r="F139" s="47"/>
      <c r="G139" s="47">
        <v>745.84</v>
      </c>
      <c r="H139" s="58" t="s">
        <v>150</v>
      </c>
      <c r="I139" s="48">
        <v>6533</v>
      </c>
      <c r="J139" s="47"/>
      <c r="K139" s="47"/>
      <c r="L139" s="47" t="str">
        <f>IF(1.5759*745.84=0," ",TEXT(,ROUND((1.5759*745.84*5.56),2)))</f>
        <v>6535,05</v>
      </c>
      <c r="M139" s="47"/>
      <c r="N139" s="47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 t="s">
        <v>197</v>
      </c>
      <c r="AG139" s="50" t="s">
        <v>180</v>
      </c>
      <c r="AH139" s="50"/>
      <c r="AI139" s="50">
        <f>0+0</f>
        <v>0</v>
      </c>
    </row>
    <row r="140" spans="1:35" ht="132" x14ac:dyDescent="0.25">
      <c r="A140" s="44">
        <v>96</v>
      </c>
      <c r="B140" s="45" t="s">
        <v>450</v>
      </c>
      <c r="C140" s="46" t="str">
        <f t="shared" ca="1" si="4"/>
        <v xml:space="preserve">Устройство мелких покрытий (брандмауэры, парапеты, свесы и т.п.) из листовой оцинкованной стали 57*6,14=350 кг
100 м2 покрытия
9842 руб. НР 92%=120%*(0,85*0,9) от ФОТ (10698 руб.)
4707 руб.СП 44%=65%*(0,8*0,85) от ФОТ (10698 руб.)
</v>
      </c>
      <c r="D140" s="44">
        <v>0.56999999999999995</v>
      </c>
      <c r="E140" s="47" t="s">
        <v>451</v>
      </c>
      <c r="F140" s="47" t="s">
        <v>452</v>
      </c>
      <c r="G140" s="47">
        <v>8890.58</v>
      </c>
      <c r="H140" s="58" t="s">
        <v>453</v>
      </c>
      <c r="I140" s="48">
        <v>28477</v>
      </c>
      <c r="J140" s="47">
        <v>10647</v>
      </c>
      <c r="K140" s="47" t="s">
        <v>454</v>
      </c>
      <c r="L140" s="47" t="str">
        <f>IF(0.57*8890.58=0," ",TEXT(,ROUND((0.57*8890.58*3.48),2)))</f>
        <v>17635,35</v>
      </c>
      <c r="M140" s="47" t="s">
        <v>455</v>
      </c>
      <c r="N140" s="47" t="s">
        <v>456</v>
      </c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 t="s">
        <v>79</v>
      </c>
      <c r="AB140" s="50" t="s">
        <v>80</v>
      </c>
      <c r="AC140" s="50">
        <v>9842</v>
      </c>
      <c r="AD140" s="50">
        <v>4707</v>
      </c>
      <c r="AE140" s="50"/>
      <c r="AF140" s="50" t="s">
        <v>457</v>
      </c>
      <c r="AG140" s="50" t="s">
        <v>33</v>
      </c>
      <c r="AH140" s="50"/>
      <c r="AI140" s="50">
        <f>10647+51</f>
        <v>10698</v>
      </c>
    </row>
    <row r="141" spans="1:35" ht="66" x14ac:dyDescent="0.25">
      <c r="A141" s="44">
        <v>97</v>
      </c>
      <c r="B141" s="45" t="s">
        <v>351</v>
      </c>
      <c r="C141" s="46" t="str">
        <f t="shared" ca="1" si="4"/>
        <v xml:space="preserve">Сталь листовая оцинкованная толщиной листа: 0,7 мм
т
</v>
      </c>
      <c r="D141" s="44">
        <v>-0.44569999999999999</v>
      </c>
      <c r="E141" s="47">
        <v>11200</v>
      </c>
      <c r="F141" s="47"/>
      <c r="G141" s="47">
        <v>11200</v>
      </c>
      <c r="H141" s="58" t="s">
        <v>352</v>
      </c>
      <c r="I141" s="48">
        <v>-17342</v>
      </c>
      <c r="J141" s="47"/>
      <c r="K141" s="47"/>
      <c r="L141" s="47" t="str">
        <f>IF(-0.4457*11200=0," ",TEXT(,ROUND((-0.4457*11200*3.474),2)))</f>
        <v>-17341,65</v>
      </c>
      <c r="M141" s="47"/>
      <c r="N141" s="47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 t="s">
        <v>353</v>
      </c>
      <c r="AG141" s="50" t="s">
        <v>170</v>
      </c>
      <c r="AH141" s="50"/>
      <c r="AI141" s="50">
        <f>0+0</f>
        <v>0</v>
      </c>
    </row>
    <row r="142" spans="1:35" ht="66" x14ac:dyDescent="0.25">
      <c r="A142" s="44">
        <v>98</v>
      </c>
      <c r="B142" s="45" t="s">
        <v>329</v>
      </c>
      <c r="C142" s="46" t="str">
        <f t="shared" ca="1" si="4"/>
        <v xml:space="preserve">Сталь листовая оцинкованная толщиной листа: 0,55 мм
т
</v>
      </c>
      <c r="D142" s="44">
        <v>0.35</v>
      </c>
      <c r="E142" s="47">
        <v>10484</v>
      </c>
      <c r="F142" s="47"/>
      <c r="G142" s="47">
        <v>10484</v>
      </c>
      <c r="H142" s="58" t="s">
        <v>331</v>
      </c>
      <c r="I142" s="48">
        <v>14650</v>
      </c>
      <c r="J142" s="47"/>
      <c r="K142" s="47"/>
      <c r="L142" s="47" t="str">
        <f>IF(0.35*10484=0," ",TEXT(,ROUND((0.35*10484*3.993),2)))</f>
        <v>14651,91</v>
      </c>
      <c r="M142" s="47"/>
      <c r="N142" s="47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 t="s">
        <v>332</v>
      </c>
      <c r="AG142" s="50" t="s">
        <v>170</v>
      </c>
      <c r="AH142" s="50"/>
      <c r="AI142" s="50">
        <f>0+0</f>
        <v>0</v>
      </c>
    </row>
    <row r="143" spans="1:35" ht="118.8" x14ac:dyDescent="0.25">
      <c r="A143" s="44">
        <v>99</v>
      </c>
      <c r="B143" s="45" t="s">
        <v>458</v>
      </c>
      <c r="C143" s="46" t="str">
        <f t="shared" ca="1" si="4"/>
        <v xml:space="preserve">Установка зонтов над шахтами из листовой стали прямоугольного сечения периметром : 3600 мм
1 зонт
3031 руб. НР 98%=128%*(0,85*0,9) от ФОТ (3093 руб.)
1732 руб.СП 56%=83%*(0,8*0,85) от ФОТ (3093 руб.)
</v>
      </c>
      <c r="D143" s="44">
        <v>6</v>
      </c>
      <c r="E143" s="47" t="s">
        <v>459</v>
      </c>
      <c r="F143" s="47" t="s">
        <v>460</v>
      </c>
      <c r="G143" s="47">
        <v>8.39</v>
      </c>
      <c r="H143" s="58" t="s">
        <v>461</v>
      </c>
      <c r="I143" s="48">
        <v>3782</v>
      </c>
      <c r="J143" s="47">
        <v>3076</v>
      </c>
      <c r="K143" s="47" t="s">
        <v>462</v>
      </c>
      <c r="L143" s="47" t="str">
        <f>IF(6*8.39=0," ",TEXT(,ROUND((6*8.39*5.89),2)))</f>
        <v>296,5</v>
      </c>
      <c r="M143" s="47" t="s">
        <v>463</v>
      </c>
      <c r="N143" s="47" t="s">
        <v>464</v>
      </c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 t="s">
        <v>465</v>
      </c>
      <c r="AB143" s="50" t="s">
        <v>466</v>
      </c>
      <c r="AC143" s="50">
        <v>3031</v>
      </c>
      <c r="AD143" s="50">
        <v>1732</v>
      </c>
      <c r="AE143" s="50"/>
      <c r="AF143" s="50" t="s">
        <v>467</v>
      </c>
      <c r="AG143" s="50" t="s">
        <v>468</v>
      </c>
      <c r="AH143" s="50"/>
      <c r="AI143" s="50">
        <f>3076+17</f>
        <v>3093</v>
      </c>
    </row>
    <row r="144" spans="1:35" ht="79.2" x14ac:dyDescent="0.25">
      <c r="A144" s="44">
        <v>100</v>
      </c>
      <c r="B144" s="45" t="s">
        <v>469</v>
      </c>
      <c r="C144" s="46" t="str">
        <f t="shared" ca="1" si="4"/>
        <v xml:space="preserve">Зонты вентиляционных систем из листовой оцинкованной стали: прямоугольные, периметром шахты 3600 мм
шт.
</v>
      </c>
      <c r="D144" s="44">
        <v>6</v>
      </c>
      <c r="E144" s="47">
        <v>588</v>
      </c>
      <c r="F144" s="47"/>
      <c r="G144" s="47">
        <v>588</v>
      </c>
      <c r="H144" s="58" t="s">
        <v>470</v>
      </c>
      <c r="I144" s="48">
        <v>12150</v>
      </c>
      <c r="J144" s="47"/>
      <c r="K144" s="47"/>
      <c r="L144" s="47" t="str">
        <f>IF(6*588=0," ",TEXT(,ROUND((6*588*3.444),2)))</f>
        <v>12150,43</v>
      </c>
      <c r="M144" s="47"/>
      <c r="N144" s="47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 t="s">
        <v>471</v>
      </c>
      <c r="AG144" s="50" t="s">
        <v>229</v>
      </c>
      <c r="AH144" s="50"/>
      <c r="AI144" s="50">
        <f>0+0</f>
        <v>0</v>
      </c>
    </row>
    <row r="145" spans="1:35" ht="118.8" x14ac:dyDescent="0.25">
      <c r="A145" s="44">
        <v>101</v>
      </c>
      <c r="B145" s="45" t="s">
        <v>472</v>
      </c>
      <c r="C145" s="46" t="str">
        <f t="shared" ca="1" si="4"/>
        <v xml:space="preserve">Установка зонтов над шахтами из листовой стали прямоугольного сечения периметром : 3200 мм
1 зонт
761 руб. НР 98%=128%*(0,85*0,9) от ФОТ (777 руб.)
435 руб.СП 56%=83%*(0,8*0,85) от ФОТ (777 руб.)
</v>
      </c>
      <c r="D145" s="44">
        <v>2</v>
      </c>
      <c r="E145" s="47" t="s">
        <v>473</v>
      </c>
      <c r="F145" s="47" t="s">
        <v>474</v>
      </c>
      <c r="G145" s="47">
        <v>8.08</v>
      </c>
      <c r="H145" s="58" t="s">
        <v>461</v>
      </c>
      <c r="I145" s="48">
        <v>979</v>
      </c>
      <c r="J145" s="47">
        <v>777</v>
      </c>
      <c r="K145" s="47">
        <v>107</v>
      </c>
      <c r="L145" s="47" t="str">
        <f>IF(2*8.08=0," ",TEXT(,ROUND((2*8.08*5.89),2)))</f>
        <v>95,18</v>
      </c>
      <c r="M145" s="47" t="s">
        <v>475</v>
      </c>
      <c r="N145" s="47" t="s">
        <v>476</v>
      </c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 t="s">
        <v>465</v>
      </c>
      <c r="AB145" s="50" t="s">
        <v>466</v>
      </c>
      <c r="AC145" s="50">
        <v>761</v>
      </c>
      <c r="AD145" s="50">
        <v>435</v>
      </c>
      <c r="AE145" s="50"/>
      <c r="AF145" s="50" t="s">
        <v>477</v>
      </c>
      <c r="AG145" s="50" t="s">
        <v>468</v>
      </c>
      <c r="AH145" s="50"/>
      <c r="AI145" s="50">
        <f>777+0</f>
        <v>777</v>
      </c>
    </row>
    <row r="146" spans="1:35" ht="79.2" x14ac:dyDescent="0.25">
      <c r="A146" s="44">
        <v>102</v>
      </c>
      <c r="B146" s="45" t="s">
        <v>478</v>
      </c>
      <c r="C146" s="46" t="str">
        <f t="shared" ca="1" si="4"/>
        <v xml:space="preserve">Зонты вентиляционных систем из листовой оцинкованной стали: прямоугольные, периметром шахты 3200 мм
шт.
</v>
      </c>
      <c r="D146" s="44">
        <v>2</v>
      </c>
      <c r="E146" s="47">
        <v>361.2</v>
      </c>
      <c r="F146" s="47"/>
      <c r="G146" s="47">
        <v>361.2</v>
      </c>
      <c r="H146" s="58" t="s">
        <v>479</v>
      </c>
      <c r="I146" s="48">
        <v>3550</v>
      </c>
      <c r="J146" s="47"/>
      <c r="K146" s="47"/>
      <c r="L146" s="47" t="str">
        <f>IF(2*361.2=0," ",TEXT(,ROUND((2*361.2*4.917),2)))</f>
        <v>3552,04</v>
      </c>
      <c r="M146" s="47"/>
      <c r="N146" s="47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 t="s">
        <v>480</v>
      </c>
      <c r="AG146" s="50" t="s">
        <v>229</v>
      </c>
      <c r="AH146" s="50"/>
      <c r="AI146" s="50">
        <f>0+0</f>
        <v>0</v>
      </c>
    </row>
    <row r="147" spans="1:35" ht="66" x14ac:dyDescent="0.25">
      <c r="A147" s="44">
        <v>103</v>
      </c>
      <c r="B147" s="45" t="s">
        <v>481</v>
      </c>
      <c r="C147" s="46" t="str">
        <f t="shared" ca="1" si="4"/>
        <v xml:space="preserve">Сталь полосовая, марка стали: Ст0 шириной 70 мм толщиной 4-5 мм
т
</v>
      </c>
      <c r="D147" s="44">
        <v>0.12720000000000001</v>
      </c>
      <c r="E147" s="47">
        <v>5561</v>
      </c>
      <c r="F147" s="47"/>
      <c r="G147" s="47">
        <v>5561</v>
      </c>
      <c r="H147" s="58" t="s">
        <v>482</v>
      </c>
      <c r="I147" s="48">
        <v>4196</v>
      </c>
      <c r="J147" s="47"/>
      <c r="K147" s="47"/>
      <c r="L147" s="47" t="str">
        <f>IF(0.1272*5561=0," ",TEXT(,ROUND((0.1272*5561*5.935),2)))</f>
        <v>4198,18</v>
      </c>
      <c r="M147" s="47"/>
      <c r="N147" s="47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 t="s">
        <v>483</v>
      </c>
      <c r="AG147" s="50" t="s">
        <v>170</v>
      </c>
      <c r="AH147" s="50"/>
      <c r="AI147" s="50">
        <f>0+0</f>
        <v>0</v>
      </c>
    </row>
    <row r="148" spans="1:35" ht="52.8" x14ac:dyDescent="0.25">
      <c r="A148" s="52">
        <v>104</v>
      </c>
      <c r="B148" s="53" t="s">
        <v>484</v>
      </c>
      <c r="C148" s="54" t="str">
        <f t="shared" ca="1" si="4"/>
        <v xml:space="preserve">Дюбель-гвоздь 8х100 мм
100 шт.
</v>
      </c>
      <c r="D148" s="52">
        <v>1.2</v>
      </c>
      <c r="E148" s="55">
        <v>118</v>
      </c>
      <c r="F148" s="55"/>
      <c r="G148" s="55">
        <v>118</v>
      </c>
      <c r="H148" s="56" t="s">
        <v>485</v>
      </c>
      <c r="I148" s="57">
        <v>196</v>
      </c>
      <c r="J148" s="55"/>
      <c r="K148" s="55"/>
      <c r="L148" s="55" t="str">
        <f>IF(1.2*118=0," ",TEXT(,ROUND((1.2*118*1.377),2)))</f>
        <v>194,98</v>
      </c>
      <c r="M148" s="55"/>
      <c r="N148" s="55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 t="s">
        <v>486</v>
      </c>
      <c r="AG148" s="50" t="s">
        <v>487</v>
      </c>
      <c r="AH148" s="50"/>
      <c r="AI148" s="50">
        <f>0+0</f>
        <v>0</v>
      </c>
    </row>
    <row r="149" spans="1:35" ht="26.4" x14ac:dyDescent="0.25">
      <c r="A149" s="70" t="s">
        <v>124</v>
      </c>
      <c r="B149" s="65"/>
      <c r="C149" s="65"/>
      <c r="D149" s="65"/>
      <c r="E149" s="65"/>
      <c r="F149" s="65"/>
      <c r="G149" s="65"/>
      <c r="H149" s="65"/>
      <c r="I149" s="48">
        <v>19359</v>
      </c>
      <c r="J149" s="47">
        <v>1339</v>
      </c>
      <c r="K149" s="47" t="s">
        <v>488</v>
      </c>
      <c r="L149" s="47">
        <v>17685</v>
      </c>
      <c r="M149" s="47"/>
      <c r="N149" s="47" t="s">
        <v>489</v>
      </c>
      <c r="O149" s="17"/>
      <c r="P149" s="18"/>
      <c r="Q149" s="17"/>
      <c r="R149" s="17"/>
      <c r="S149" s="17"/>
    </row>
    <row r="150" spans="1:35" ht="26.4" x14ac:dyDescent="0.25">
      <c r="A150" s="70" t="s">
        <v>232</v>
      </c>
      <c r="B150" s="65"/>
      <c r="C150" s="65"/>
      <c r="D150" s="65"/>
      <c r="E150" s="65"/>
      <c r="F150" s="65"/>
      <c r="G150" s="65"/>
      <c r="H150" s="65"/>
      <c r="I150" s="48">
        <v>19642</v>
      </c>
      <c r="J150" s="47">
        <v>1539</v>
      </c>
      <c r="K150" s="47" t="s">
        <v>490</v>
      </c>
      <c r="L150" s="47">
        <v>17685</v>
      </c>
      <c r="M150" s="47"/>
      <c r="N150" s="47" t="s">
        <v>491</v>
      </c>
      <c r="O150" s="17"/>
      <c r="P150" s="18"/>
      <c r="Q150" s="17"/>
      <c r="R150" s="17"/>
      <c r="S150" s="17"/>
    </row>
    <row r="151" spans="1:35" x14ac:dyDescent="0.25">
      <c r="A151" s="70" t="s">
        <v>235</v>
      </c>
      <c r="B151" s="65"/>
      <c r="C151" s="65"/>
      <c r="D151" s="65"/>
      <c r="E151" s="65"/>
      <c r="F151" s="65"/>
      <c r="G151" s="65"/>
      <c r="H151" s="65"/>
      <c r="I151" s="48"/>
      <c r="J151" s="47"/>
      <c r="K151" s="47"/>
      <c r="L151" s="47"/>
      <c r="M151" s="47"/>
      <c r="N151" s="47"/>
      <c r="O151" s="17"/>
      <c r="P151" s="18"/>
      <c r="Q151" s="17"/>
      <c r="R151" s="17"/>
      <c r="S151" s="17"/>
    </row>
    <row r="152" spans="1:35" ht="27.9" customHeight="1" x14ac:dyDescent="0.25">
      <c r="A152" s="70" t="s">
        <v>492</v>
      </c>
      <c r="B152" s="65"/>
      <c r="C152" s="65"/>
      <c r="D152" s="65"/>
      <c r="E152" s="65"/>
      <c r="F152" s="65"/>
      <c r="G152" s="65"/>
      <c r="H152" s="65"/>
      <c r="I152" s="48">
        <v>283</v>
      </c>
      <c r="J152" s="47">
        <v>201</v>
      </c>
      <c r="K152" s="47" t="s">
        <v>493</v>
      </c>
      <c r="L152" s="47"/>
      <c r="M152" s="47"/>
      <c r="N152" s="47" t="s">
        <v>494</v>
      </c>
      <c r="O152" s="17"/>
      <c r="P152" s="18"/>
      <c r="Q152" s="17"/>
      <c r="R152" s="17"/>
      <c r="S152" s="17"/>
    </row>
    <row r="153" spans="1:35" ht="26.4" x14ac:dyDescent="0.25">
      <c r="A153" s="70" t="s">
        <v>127</v>
      </c>
      <c r="B153" s="65"/>
      <c r="C153" s="65"/>
      <c r="D153" s="65"/>
      <c r="E153" s="65"/>
      <c r="F153" s="65"/>
      <c r="G153" s="65"/>
      <c r="H153" s="65"/>
      <c r="I153" s="48">
        <v>106853</v>
      </c>
      <c r="J153" s="47">
        <v>26009</v>
      </c>
      <c r="K153" s="47" t="s">
        <v>495</v>
      </c>
      <c r="L153" s="47">
        <v>76152</v>
      </c>
      <c r="M153" s="47"/>
      <c r="N153" s="47" t="s">
        <v>491</v>
      </c>
      <c r="O153" s="17"/>
      <c r="P153" s="18"/>
      <c r="Q153" s="17"/>
      <c r="R153" s="17"/>
      <c r="S153" s="17"/>
    </row>
    <row r="154" spans="1:35" x14ac:dyDescent="0.25">
      <c r="A154" s="70" t="s">
        <v>129</v>
      </c>
      <c r="B154" s="65"/>
      <c r="C154" s="65"/>
      <c r="D154" s="65"/>
      <c r="E154" s="65"/>
      <c r="F154" s="65"/>
      <c r="G154" s="65"/>
      <c r="H154" s="65"/>
      <c r="I154" s="48">
        <v>24929</v>
      </c>
      <c r="J154" s="47"/>
      <c r="K154" s="47"/>
      <c r="L154" s="47"/>
      <c r="M154" s="47"/>
      <c r="N154" s="47"/>
      <c r="O154" s="17"/>
      <c r="P154" s="18"/>
      <c r="Q154" s="17"/>
      <c r="R154" s="17"/>
      <c r="S154" s="17"/>
    </row>
    <row r="155" spans="1:35" x14ac:dyDescent="0.25">
      <c r="A155" s="70" t="s">
        <v>130</v>
      </c>
      <c r="B155" s="65"/>
      <c r="C155" s="65"/>
      <c r="D155" s="65"/>
      <c r="E155" s="65"/>
      <c r="F155" s="65"/>
      <c r="G155" s="65"/>
      <c r="H155" s="65"/>
      <c r="I155" s="48">
        <v>13281</v>
      </c>
      <c r="J155" s="47"/>
      <c r="K155" s="47"/>
      <c r="L155" s="47"/>
      <c r="M155" s="47"/>
      <c r="N155" s="47"/>
      <c r="O155" s="17"/>
      <c r="P155" s="18"/>
      <c r="Q155" s="17"/>
      <c r="R155" s="17"/>
      <c r="S155" s="17"/>
    </row>
    <row r="156" spans="1:35" ht="26.4" x14ac:dyDescent="0.25">
      <c r="A156" s="71" t="s">
        <v>496</v>
      </c>
      <c r="B156" s="72"/>
      <c r="C156" s="72"/>
      <c r="D156" s="72"/>
      <c r="E156" s="72"/>
      <c r="F156" s="72"/>
      <c r="G156" s="72"/>
      <c r="H156" s="72"/>
      <c r="I156" s="59">
        <v>145063</v>
      </c>
      <c r="J156" s="60"/>
      <c r="K156" s="60"/>
      <c r="L156" s="60"/>
      <c r="M156" s="60"/>
      <c r="N156" s="60" t="s">
        <v>491</v>
      </c>
      <c r="O156" s="17"/>
      <c r="P156" s="18"/>
      <c r="Q156" s="17"/>
      <c r="R156" s="17"/>
      <c r="S156" s="17"/>
    </row>
    <row r="157" spans="1:35" ht="21" customHeight="1" x14ac:dyDescent="0.25">
      <c r="A157" s="68" t="s">
        <v>497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</row>
    <row r="158" spans="1:35" ht="105.6" x14ac:dyDescent="0.25">
      <c r="A158" s="44">
        <v>105</v>
      </c>
      <c r="B158" s="45" t="s">
        <v>498</v>
      </c>
      <c r="C158" s="46" t="str">
        <f t="shared" ref="C158:C170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Смена частей канализационного стояка над кровлей: патрубка
1 шт.
4670 руб. НР 88%=103%*0,85 от ФОТ (5307 руб.)
2547 руб.СП 48%=60%*0,8 от ФОТ (5307 руб.)
</v>
      </c>
      <c r="D158" s="44">
        <v>12</v>
      </c>
      <c r="E158" s="47" t="s">
        <v>499</v>
      </c>
      <c r="F158" s="47"/>
      <c r="G158" s="47">
        <v>141.68</v>
      </c>
      <c r="H158" s="58" t="s">
        <v>500</v>
      </c>
      <c r="I158" s="48">
        <v>24602</v>
      </c>
      <c r="J158" s="47">
        <v>5307</v>
      </c>
      <c r="K158" s="47"/>
      <c r="L158" s="47" t="str">
        <f>IF(12*141.68=0," ",TEXT(,ROUND((12*141.68*11.35),2)))</f>
        <v>19296,82</v>
      </c>
      <c r="M158" s="47">
        <v>3.15</v>
      </c>
      <c r="N158" s="47">
        <v>37.799999999999997</v>
      </c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 t="s">
        <v>501</v>
      </c>
      <c r="AB158" s="50" t="s">
        <v>502</v>
      </c>
      <c r="AC158" s="50">
        <v>4670</v>
      </c>
      <c r="AD158" s="50">
        <v>2547</v>
      </c>
      <c r="AE158" s="50"/>
      <c r="AF158" s="50" t="s">
        <v>503</v>
      </c>
      <c r="AG158" s="50" t="s">
        <v>504</v>
      </c>
      <c r="AH158" s="50"/>
      <c r="AI158" s="50">
        <f>5307+0</f>
        <v>5307</v>
      </c>
    </row>
    <row r="159" spans="1:35" ht="66" x14ac:dyDescent="0.25">
      <c r="A159" s="44">
        <v>106</v>
      </c>
      <c r="B159" s="45" t="s">
        <v>505</v>
      </c>
      <c r="C159" s="46" t="str">
        <f t="shared" ca="1" si="5"/>
        <v xml:space="preserve">Трубы чугунные канализационные длиной 2 м, диаметром: 150 мм
м
</v>
      </c>
      <c r="D159" s="44">
        <v>-18.36</v>
      </c>
      <c r="E159" s="47">
        <v>84.75</v>
      </c>
      <c r="F159" s="47"/>
      <c r="G159" s="47">
        <v>84.75</v>
      </c>
      <c r="H159" s="58" t="s">
        <v>506</v>
      </c>
      <c r="I159" s="48">
        <v>-18969</v>
      </c>
      <c r="J159" s="47"/>
      <c r="K159" s="47"/>
      <c r="L159" s="47" t="str">
        <f>IF(-18.36*84.75=0," ",TEXT(,ROUND((-18.36*84.75*12.191),2)))</f>
        <v>-18969,32</v>
      </c>
      <c r="M159" s="47"/>
      <c r="N159" s="47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 t="s">
        <v>507</v>
      </c>
      <c r="AG159" s="50" t="s">
        <v>379</v>
      </c>
      <c r="AH159" s="50"/>
      <c r="AI159" s="50">
        <f>0+0</f>
        <v>0</v>
      </c>
    </row>
    <row r="160" spans="1:35" ht="79.2" x14ac:dyDescent="0.25">
      <c r="A160" s="44">
        <v>107</v>
      </c>
      <c r="B160" s="45" t="s">
        <v>508</v>
      </c>
      <c r="C160" s="46" t="str">
        <f t="shared" ca="1" si="5"/>
        <v xml:space="preserve">Трубопроводы канализации из полиэтиленовых труб высокой плотности с гильзами, диаметром: 110 мм
м
</v>
      </c>
      <c r="D160" s="44">
        <v>51.04</v>
      </c>
      <c r="E160" s="47">
        <v>70.400000000000006</v>
      </c>
      <c r="F160" s="47"/>
      <c r="G160" s="47">
        <v>70.400000000000006</v>
      </c>
      <c r="H160" s="58" t="s">
        <v>509</v>
      </c>
      <c r="I160" s="48">
        <v>11181</v>
      </c>
      <c r="J160" s="47"/>
      <c r="K160" s="47"/>
      <c r="L160" s="47" t="str">
        <f>IF(51.04*70.4=0," ",TEXT(,ROUND((51.04*70.4*3.112),2)))</f>
        <v>11182,09</v>
      </c>
      <c r="M160" s="47"/>
      <c r="N160" s="47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 t="s">
        <v>510</v>
      </c>
      <c r="AG160" s="50" t="s">
        <v>379</v>
      </c>
      <c r="AH160" s="50"/>
      <c r="AI160" s="50">
        <f>0+0</f>
        <v>0</v>
      </c>
    </row>
    <row r="161" spans="1:35" ht="132" x14ac:dyDescent="0.25">
      <c r="A161" s="44">
        <v>108</v>
      </c>
      <c r="B161" s="45" t="s">
        <v>511</v>
      </c>
      <c r="C161" s="46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221 руб. НР 77%=100%*(0,85*0,9) от ФОТ (287 руб.)
138 руб.СП 48%=70%*(0,8*0,85) от ФОТ (287 руб.)
</v>
      </c>
      <c r="D161" s="44" t="s">
        <v>512</v>
      </c>
      <c r="E161" s="47" t="s">
        <v>513</v>
      </c>
      <c r="F161" s="47">
        <v>21.79</v>
      </c>
      <c r="G161" s="47">
        <v>1385.68</v>
      </c>
      <c r="H161" s="58" t="s">
        <v>514</v>
      </c>
      <c r="I161" s="48">
        <v>757</v>
      </c>
      <c r="J161" s="47">
        <v>287</v>
      </c>
      <c r="K161" s="47">
        <v>47</v>
      </c>
      <c r="L161" s="47" t="str">
        <f>IF(0.122496*1385.68=0," ",TEXT(,ROUND((0.122496*1385.68*2.49),2)))</f>
        <v>422,65</v>
      </c>
      <c r="M161" s="47">
        <v>14.36</v>
      </c>
      <c r="N161" s="47">
        <v>1.76</v>
      </c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 t="s">
        <v>307</v>
      </c>
      <c r="AB161" s="50" t="s">
        <v>31</v>
      </c>
      <c r="AC161" s="50">
        <v>221</v>
      </c>
      <c r="AD161" s="50">
        <v>138</v>
      </c>
      <c r="AE161" s="50"/>
      <c r="AF161" s="50" t="s">
        <v>515</v>
      </c>
      <c r="AG161" s="50" t="s">
        <v>516</v>
      </c>
      <c r="AH161" s="50"/>
      <c r="AI161" s="50">
        <f>287+0</f>
        <v>287</v>
      </c>
    </row>
    <row r="162" spans="1:35" ht="79.2" x14ac:dyDescent="0.25">
      <c r="A162" s="44">
        <v>109</v>
      </c>
      <c r="B162" s="45" t="s">
        <v>517</v>
      </c>
      <c r="C162" s="46" t="str">
        <f t="shared" ca="1" si="5"/>
        <v xml:space="preserve">Пленка полиэтиленовая толщиной: 0,2-0,5 мм, изоловая
м2
</v>
      </c>
      <c r="D162" s="44" t="s">
        <v>518</v>
      </c>
      <c r="E162" s="47">
        <v>4.82</v>
      </c>
      <c r="F162" s="47"/>
      <c r="G162" s="47">
        <v>4.82</v>
      </c>
      <c r="H162" s="58" t="s">
        <v>519</v>
      </c>
      <c r="I162" s="48">
        <v>-83</v>
      </c>
      <c r="J162" s="47"/>
      <c r="K162" s="47"/>
      <c r="L162" s="47" t="str">
        <f>IF(-14.0904*4.82=0," ",TEXT(,ROUND((-14.0904*4.82*1.222),2)))</f>
        <v>-82,99</v>
      </c>
      <c r="M162" s="47"/>
      <c r="N162" s="47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 t="s">
        <v>520</v>
      </c>
      <c r="AG162" s="50" t="s">
        <v>148</v>
      </c>
      <c r="AH162" s="50"/>
      <c r="AI162" s="50">
        <f>0+0</f>
        <v>0</v>
      </c>
    </row>
    <row r="163" spans="1:35" ht="66" x14ac:dyDescent="0.25">
      <c r="A163" s="44">
        <v>110</v>
      </c>
      <c r="B163" s="45" t="s">
        <v>149</v>
      </c>
      <c r="C163" s="46" t="str">
        <f t="shared" ca="1" si="5"/>
        <v xml:space="preserve">Изоспан: Двухслойная паропроницаемая мембрана марки В 14,62/5,56=2,63
м2
</v>
      </c>
      <c r="D163" s="44" t="s">
        <v>521</v>
      </c>
      <c r="E163" s="47">
        <v>2.63</v>
      </c>
      <c r="F163" s="47"/>
      <c r="G163" s="47">
        <v>2.63</v>
      </c>
      <c r="H163" s="58" t="s">
        <v>150</v>
      </c>
      <c r="I163" s="48">
        <v>206</v>
      </c>
      <c r="J163" s="47"/>
      <c r="K163" s="47"/>
      <c r="L163" s="47" t="str">
        <f>IF(14.0904*2.63=0," ",TEXT(,ROUND((14.0904*2.63*5.56),2)))</f>
        <v>206,04</v>
      </c>
      <c r="M163" s="47"/>
      <c r="N163" s="47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 t="s">
        <v>151</v>
      </c>
      <c r="AG163" s="50" t="s">
        <v>148</v>
      </c>
      <c r="AH163" s="50"/>
      <c r="AI163" s="50">
        <f>0+0</f>
        <v>0</v>
      </c>
    </row>
    <row r="164" spans="1:35" ht="132" x14ac:dyDescent="0.25">
      <c r="A164" s="44">
        <v>111</v>
      </c>
      <c r="B164" s="45" t="s">
        <v>522</v>
      </c>
      <c r="C164" s="46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расх.)
1015 руб. НР 77%=100%*(0,85*0,9) от ФОТ (1318 руб.)
633 руб.СП 48%=70%*(0,8*0,85) от ФОТ (1318 руб.)
</v>
      </c>
      <c r="D164" s="44">
        <v>0.246</v>
      </c>
      <c r="E164" s="47" t="s">
        <v>523</v>
      </c>
      <c r="F164" s="47">
        <v>50.59</v>
      </c>
      <c r="G164" s="47"/>
      <c r="H164" s="58" t="s">
        <v>524</v>
      </c>
      <c r="I164" s="48">
        <v>1479</v>
      </c>
      <c r="J164" s="47">
        <v>1318</v>
      </c>
      <c r="K164" s="47">
        <v>161</v>
      </c>
      <c r="L164" s="47" t="str">
        <f>IF(0.246*0=0," ",TEXT(,ROUND((0.246*0*9.72),2)))</f>
        <v xml:space="preserve"> </v>
      </c>
      <c r="M164" s="47">
        <v>31.98</v>
      </c>
      <c r="N164" s="47">
        <v>7.87</v>
      </c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 t="s">
        <v>307</v>
      </c>
      <c r="AB164" s="50" t="s">
        <v>31</v>
      </c>
      <c r="AC164" s="50">
        <v>1015</v>
      </c>
      <c r="AD164" s="50">
        <v>633</v>
      </c>
      <c r="AE164" s="50" t="s">
        <v>525</v>
      </c>
      <c r="AF164" s="50" t="s">
        <v>526</v>
      </c>
      <c r="AG164" s="50" t="s">
        <v>516</v>
      </c>
      <c r="AH164" s="50"/>
      <c r="AI164" s="50">
        <f>1318+0</f>
        <v>1318</v>
      </c>
    </row>
    <row r="165" spans="1:35" ht="66" x14ac:dyDescent="0.25">
      <c r="A165" s="44">
        <v>112</v>
      </c>
      <c r="B165" s="45" t="s">
        <v>527</v>
      </c>
      <c r="C165" s="46" t="str">
        <f t="shared" ca="1" si="5"/>
        <v xml:space="preserve">Утеплитель URSA: М 15, толщиной 50 мм 94,37/5,56=16,97
м2
</v>
      </c>
      <c r="D165" s="44" t="s">
        <v>528</v>
      </c>
      <c r="E165" s="47">
        <v>16.97</v>
      </c>
      <c r="F165" s="47"/>
      <c r="G165" s="47">
        <v>16.97</v>
      </c>
      <c r="H165" s="58" t="s">
        <v>150</v>
      </c>
      <c r="I165" s="48">
        <v>4782</v>
      </c>
      <c r="J165" s="47"/>
      <c r="K165" s="47"/>
      <c r="L165" s="47" t="str">
        <f>IF(50.676*16.97=0," ",TEXT(,ROUND((50.676*16.97*5.56),2)))</f>
        <v>4781,44</v>
      </c>
      <c r="M165" s="47"/>
      <c r="N165" s="47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 t="s">
        <v>529</v>
      </c>
      <c r="AG165" s="50" t="s">
        <v>148</v>
      </c>
      <c r="AH165" s="50"/>
      <c r="AI165" s="50">
        <f>0+0</f>
        <v>0</v>
      </c>
    </row>
    <row r="166" spans="1:35" ht="158.4" x14ac:dyDescent="0.25">
      <c r="A166" s="44">
        <v>113</v>
      </c>
      <c r="B166" s="45" t="s">
        <v>530</v>
      </c>
      <c r="C166" s="46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(В 2 слоя ПЗ=2 (ОЗП=2; ЭМ=2 к расх.; ЗПМ=2; МАТ=2 к расх.; ТЗ=2; ТЗМ=2);
материалы МАТ=0 к расх.)
4060 руб. НР 77%=100%*(0,85*0,9) от ФОТ (5273 руб.)
2531 руб.СП 48%=70%*(0,8*0,85) от ФОТ (5273 руб.)
</v>
      </c>
      <c r="D166" s="44">
        <v>0.49</v>
      </c>
      <c r="E166" s="47" t="s">
        <v>531</v>
      </c>
      <c r="F166" s="47">
        <v>101.18</v>
      </c>
      <c r="G166" s="47"/>
      <c r="H166" s="58" t="s">
        <v>524</v>
      </c>
      <c r="I166" s="48">
        <v>5947</v>
      </c>
      <c r="J166" s="47">
        <v>5273</v>
      </c>
      <c r="K166" s="47">
        <v>676</v>
      </c>
      <c r="L166" s="47" t="str">
        <f>IF(0.49*0=0," ",TEXT(,ROUND((0.49*0*9.72),2)))</f>
        <v xml:space="preserve"> </v>
      </c>
      <c r="M166" s="47">
        <v>63.96</v>
      </c>
      <c r="N166" s="47">
        <v>31.34</v>
      </c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 t="s">
        <v>307</v>
      </c>
      <c r="AB166" s="50" t="s">
        <v>31</v>
      </c>
      <c r="AC166" s="50">
        <v>4060</v>
      </c>
      <c r="AD166" s="50">
        <v>2531</v>
      </c>
      <c r="AE166" s="61" t="s">
        <v>532</v>
      </c>
      <c r="AF166" s="50" t="s">
        <v>526</v>
      </c>
      <c r="AG166" s="50" t="s">
        <v>516</v>
      </c>
      <c r="AH166" s="50"/>
      <c r="AI166" s="50">
        <f>5273+0</f>
        <v>5273</v>
      </c>
    </row>
    <row r="167" spans="1:35" ht="52.8" x14ac:dyDescent="0.25">
      <c r="A167" s="44">
        <v>114</v>
      </c>
      <c r="B167" s="45" t="s">
        <v>533</v>
      </c>
      <c r="C167" s="46" t="str">
        <f t="shared" ca="1" si="5"/>
        <v xml:space="preserve">Ткань стеклянная конструкционная марки: Т-13
1000 м2
</v>
      </c>
      <c r="D167" s="44" t="s">
        <v>534</v>
      </c>
      <c r="E167" s="47">
        <v>15914</v>
      </c>
      <c r="F167" s="47"/>
      <c r="G167" s="47">
        <v>15914</v>
      </c>
      <c r="H167" s="58" t="s">
        <v>535</v>
      </c>
      <c r="I167" s="48">
        <v>3974</v>
      </c>
      <c r="J167" s="47"/>
      <c r="K167" s="47"/>
      <c r="L167" s="47" t="str">
        <f>IF(0.1127*15914=0," ",TEXT(,ROUND((0.1127*15914*2.215),2)))</f>
        <v>3972,62</v>
      </c>
      <c r="M167" s="47"/>
      <c r="N167" s="47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 t="s">
        <v>536</v>
      </c>
      <c r="AG167" s="50" t="s">
        <v>537</v>
      </c>
      <c r="AH167" s="50"/>
      <c r="AI167" s="50">
        <f>0+0</f>
        <v>0</v>
      </c>
    </row>
    <row r="168" spans="1:35" ht="132" x14ac:dyDescent="0.25">
      <c r="A168" s="44">
        <v>115</v>
      </c>
      <c r="B168" s="45" t="s">
        <v>538</v>
      </c>
      <c r="C168" s="46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6090 руб. НР 77%=100%*(0,85*0,9) от ФОТ (7909 руб.)
3796 руб.СП 48%=70%*(0,8*0,85) от ФОТ (7909 руб.)
</v>
      </c>
      <c r="D168" s="44" t="s">
        <v>539</v>
      </c>
      <c r="E168" s="47" t="s">
        <v>540</v>
      </c>
      <c r="F168" s="47">
        <v>578.44000000000005</v>
      </c>
      <c r="G168" s="47">
        <v>8515.41</v>
      </c>
      <c r="H168" s="58" t="s">
        <v>541</v>
      </c>
      <c r="I168" s="48">
        <v>20134</v>
      </c>
      <c r="J168" s="47">
        <v>7909</v>
      </c>
      <c r="K168" s="47">
        <v>1899</v>
      </c>
      <c r="L168" s="47" t="str">
        <f>IF(0.3216*8515.41=0," ",TEXT(,ROUND((0.3216*8515.41*3.77),2)))</f>
        <v>10324,36</v>
      </c>
      <c r="M168" s="47">
        <v>139.55000000000001</v>
      </c>
      <c r="N168" s="47">
        <v>44.88</v>
      </c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 t="s">
        <v>307</v>
      </c>
      <c r="AB168" s="50" t="s">
        <v>31</v>
      </c>
      <c r="AC168" s="50">
        <v>6090</v>
      </c>
      <c r="AD168" s="50">
        <v>3796</v>
      </c>
      <c r="AE168" s="50"/>
      <c r="AF168" s="50" t="s">
        <v>542</v>
      </c>
      <c r="AG168" s="50" t="s">
        <v>516</v>
      </c>
      <c r="AH168" s="50"/>
      <c r="AI168" s="50">
        <f>7909+0</f>
        <v>7909</v>
      </c>
    </row>
    <row r="169" spans="1:35" ht="66" x14ac:dyDescent="0.25">
      <c r="A169" s="44">
        <v>116</v>
      </c>
      <c r="B169" s="45" t="s">
        <v>543</v>
      </c>
      <c r="C169" s="46" t="str">
        <f t="shared" ca="1" si="5"/>
        <v xml:space="preserve">Сталь листовая оцинкованная толщиной листа: 0,8 мм
т
</v>
      </c>
      <c r="D169" s="44">
        <v>-0.24729999999999999</v>
      </c>
      <c r="E169" s="47">
        <v>11000</v>
      </c>
      <c r="F169" s="47"/>
      <c r="G169" s="47">
        <v>11000</v>
      </c>
      <c r="H169" s="58" t="s">
        <v>544</v>
      </c>
      <c r="I169" s="48">
        <v>-10271</v>
      </c>
      <c r="J169" s="47"/>
      <c r="K169" s="47"/>
      <c r="L169" s="47" t="str">
        <f>IF(-0.2473*11000=0," ",TEXT(,ROUND((-0.2473*11000*3.776),2)))</f>
        <v>-10271,85</v>
      </c>
      <c r="M169" s="47"/>
      <c r="N169" s="47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 t="s">
        <v>545</v>
      </c>
      <c r="AG169" s="50" t="s">
        <v>170</v>
      </c>
      <c r="AH169" s="50"/>
      <c r="AI169" s="50">
        <f>0+0</f>
        <v>0</v>
      </c>
    </row>
    <row r="170" spans="1:35" ht="66" x14ac:dyDescent="0.25">
      <c r="A170" s="52">
        <v>117</v>
      </c>
      <c r="B170" s="53" t="s">
        <v>329</v>
      </c>
      <c r="C170" s="54" t="str">
        <f t="shared" ca="1" si="5"/>
        <v xml:space="preserve">Сталь листовая оцинкованная толщиной листа: 0,55 мм
т
</v>
      </c>
      <c r="D170" s="52">
        <v>0.17</v>
      </c>
      <c r="E170" s="55">
        <v>10484</v>
      </c>
      <c r="F170" s="55"/>
      <c r="G170" s="55">
        <v>10484</v>
      </c>
      <c r="H170" s="56" t="s">
        <v>331</v>
      </c>
      <c r="I170" s="57">
        <v>7116</v>
      </c>
      <c r="J170" s="55"/>
      <c r="K170" s="55"/>
      <c r="L170" s="55" t="str">
        <f>IF(0.17*10484=0," ",TEXT(,ROUND((0.17*10484*3.993),2)))</f>
        <v>7116,64</v>
      </c>
      <c r="M170" s="55"/>
      <c r="N170" s="55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 t="s">
        <v>332</v>
      </c>
      <c r="AG170" s="50" t="s">
        <v>170</v>
      </c>
      <c r="AH170" s="50"/>
      <c r="AI170" s="50">
        <f>0+0</f>
        <v>0</v>
      </c>
    </row>
    <row r="171" spans="1:35" x14ac:dyDescent="0.25">
      <c r="A171" s="70" t="s">
        <v>124</v>
      </c>
      <c r="B171" s="65"/>
      <c r="C171" s="65"/>
      <c r="D171" s="65"/>
      <c r="E171" s="65"/>
      <c r="F171" s="65"/>
      <c r="G171" s="65"/>
      <c r="H171" s="65"/>
      <c r="I171" s="48">
        <v>9656</v>
      </c>
      <c r="J171" s="47">
        <v>1075</v>
      </c>
      <c r="K171" s="47">
        <v>251</v>
      </c>
      <c r="L171" s="47">
        <v>8331</v>
      </c>
      <c r="M171" s="47"/>
      <c r="N171" s="47">
        <v>123.65</v>
      </c>
      <c r="O171" s="17"/>
      <c r="P171" s="18"/>
      <c r="Q171" s="17"/>
      <c r="R171" s="17"/>
      <c r="S171" s="17"/>
    </row>
    <row r="172" spans="1:35" x14ac:dyDescent="0.25">
      <c r="A172" s="70" t="s">
        <v>232</v>
      </c>
      <c r="B172" s="65"/>
      <c r="C172" s="65"/>
      <c r="D172" s="65"/>
      <c r="E172" s="65"/>
      <c r="F172" s="65"/>
      <c r="G172" s="65"/>
      <c r="H172" s="65"/>
      <c r="I172" s="48">
        <v>9833</v>
      </c>
      <c r="J172" s="47">
        <v>1189</v>
      </c>
      <c r="K172" s="47">
        <v>315</v>
      </c>
      <c r="L172" s="47">
        <v>8331</v>
      </c>
      <c r="M172" s="47"/>
      <c r="N172" s="47">
        <v>136.52000000000001</v>
      </c>
      <c r="O172" s="17"/>
      <c r="P172" s="18"/>
      <c r="Q172" s="17"/>
      <c r="R172" s="17"/>
      <c r="S172" s="17"/>
    </row>
    <row r="173" spans="1:35" x14ac:dyDescent="0.25">
      <c r="A173" s="70" t="s">
        <v>235</v>
      </c>
      <c r="B173" s="65"/>
      <c r="C173" s="65"/>
      <c r="D173" s="65"/>
      <c r="E173" s="65"/>
      <c r="F173" s="65"/>
      <c r="G173" s="65"/>
      <c r="H173" s="65"/>
      <c r="I173" s="48"/>
      <c r="J173" s="47"/>
      <c r="K173" s="47"/>
      <c r="L173" s="47"/>
      <c r="M173" s="47"/>
      <c r="N173" s="47"/>
      <c r="O173" s="17"/>
      <c r="P173" s="18"/>
      <c r="Q173" s="17"/>
      <c r="R173" s="17"/>
      <c r="S173" s="17"/>
    </row>
    <row r="174" spans="1:35" ht="27.9" customHeight="1" x14ac:dyDescent="0.25">
      <c r="A174" s="70" t="s">
        <v>546</v>
      </c>
      <c r="B174" s="65"/>
      <c r="C174" s="65"/>
      <c r="D174" s="65"/>
      <c r="E174" s="65"/>
      <c r="F174" s="65"/>
      <c r="G174" s="65"/>
      <c r="H174" s="65"/>
      <c r="I174" s="48">
        <v>177</v>
      </c>
      <c r="J174" s="47">
        <v>114</v>
      </c>
      <c r="K174" s="47">
        <v>63</v>
      </c>
      <c r="L174" s="47"/>
      <c r="M174" s="47"/>
      <c r="N174" s="47">
        <v>12.8775</v>
      </c>
      <c r="O174" s="17"/>
      <c r="P174" s="18"/>
      <c r="Q174" s="17"/>
      <c r="R174" s="17"/>
      <c r="S174" s="17"/>
    </row>
    <row r="175" spans="1:35" x14ac:dyDescent="0.25">
      <c r="A175" s="70" t="s">
        <v>127</v>
      </c>
      <c r="B175" s="65"/>
      <c r="C175" s="65"/>
      <c r="D175" s="65"/>
      <c r="E175" s="65"/>
      <c r="F175" s="65"/>
      <c r="G175" s="65"/>
      <c r="H175" s="65"/>
      <c r="I175" s="48">
        <v>50854</v>
      </c>
      <c r="J175" s="47">
        <v>20094</v>
      </c>
      <c r="K175" s="47">
        <v>2783</v>
      </c>
      <c r="L175" s="47">
        <v>27979</v>
      </c>
      <c r="M175" s="47"/>
      <c r="N175" s="47">
        <v>136.52000000000001</v>
      </c>
      <c r="O175" s="17"/>
      <c r="P175" s="18"/>
      <c r="Q175" s="17"/>
      <c r="R175" s="17"/>
      <c r="S175" s="17"/>
    </row>
    <row r="176" spans="1:35" x14ac:dyDescent="0.25">
      <c r="A176" s="70" t="s">
        <v>129</v>
      </c>
      <c r="B176" s="65"/>
      <c r="C176" s="65"/>
      <c r="D176" s="65"/>
      <c r="E176" s="65"/>
      <c r="F176" s="65"/>
      <c r="G176" s="65"/>
      <c r="H176" s="65"/>
      <c r="I176" s="48">
        <v>16056</v>
      </c>
      <c r="J176" s="47"/>
      <c r="K176" s="47"/>
      <c r="L176" s="47"/>
      <c r="M176" s="47"/>
      <c r="N176" s="47"/>
      <c r="O176" s="17"/>
      <c r="P176" s="18"/>
      <c r="Q176" s="17"/>
      <c r="R176" s="17"/>
      <c r="S176" s="17"/>
    </row>
    <row r="177" spans="1:35" x14ac:dyDescent="0.25">
      <c r="A177" s="70" t="s">
        <v>130</v>
      </c>
      <c r="B177" s="65"/>
      <c r="C177" s="65"/>
      <c r="D177" s="65"/>
      <c r="E177" s="65"/>
      <c r="F177" s="65"/>
      <c r="G177" s="65"/>
      <c r="H177" s="65"/>
      <c r="I177" s="48">
        <v>9645</v>
      </c>
      <c r="J177" s="47"/>
      <c r="K177" s="47"/>
      <c r="L177" s="47"/>
      <c r="M177" s="47"/>
      <c r="N177" s="47"/>
      <c r="O177" s="17"/>
      <c r="P177" s="18"/>
      <c r="Q177" s="17"/>
      <c r="R177" s="17"/>
      <c r="S177" s="17"/>
    </row>
    <row r="178" spans="1:35" x14ac:dyDescent="0.25">
      <c r="A178" s="71" t="s">
        <v>547</v>
      </c>
      <c r="B178" s="72"/>
      <c r="C178" s="72"/>
      <c r="D178" s="72"/>
      <c r="E178" s="72"/>
      <c r="F178" s="72"/>
      <c r="G178" s="72"/>
      <c r="H178" s="72"/>
      <c r="I178" s="59">
        <v>76555</v>
      </c>
      <c r="J178" s="60"/>
      <c r="K178" s="60"/>
      <c r="L178" s="60"/>
      <c r="M178" s="60"/>
      <c r="N178" s="60">
        <v>136.52000000000001</v>
      </c>
      <c r="O178" s="17"/>
      <c r="P178" s="18"/>
      <c r="Q178" s="17"/>
      <c r="R178" s="17"/>
      <c r="S178" s="17"/>
    </row>
    <row r="179" spans="1:35" ht="21" customHeight="1" x14ac:dyDescent="0.25">
      <c r="A179" s="68" t="s">
        <v>548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</row>
    <row r="180" spans="1:35" ht="105.6" x14ac:dyDescent="0.25">
      <c r="A180" s="44">
        <v>118</v>
      </c>
      <c r="B180" s="45" t="s">
        <v>549</v>
      </c>
      <c r="C180" s="46" t="str">
        <f t="shared" ref="C180:C196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6941 руб. НР 81%=95%*0,85 от ФОТ (8569 руб.)
4456 руб.СП 52%=65%*0,8 от ФОТ (8569 руб.)
</v>
      </c>
      <c r="D180" s="44">
        <v>2.66</v>
      </c>
      <c r="E180" s="47" t="s">
        <v>550</v>
      </c>
      <c r="F180" s="47" t="s">
        <v>551</v>
      </c>
      <c r="G180" s="47">
        <v>301.01</v>
      </c>
      <c r="H180" s="58" t="s">
        <v>552</v>
      </c>
      <c r="I180" s="48">
        <v>12487</v>
      </c>
      <c r="J180" s="47">
        <v>8501</v>
      </c>
      <c r="K180" s="47" t="s">
        <v>553</v>
      </c>
      <c r="L180" s="47" t="str">
        <f>IF(2.66*301.01=0," ",TEXT(,ROUND((2.66*301.01*3.52),2)))</f>
        <v>2818,42</v>
      </c>
      <c r="M180" s="47" t="s">
        <v>554</v>
      </c>
      <c r="N180" s="47" t="s">
        <v>555</v>
      </c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 t="s">
        <v>556</v>
      </c>
      <c r="AB180" s="50" t="s">
        <v>41</v>
      </c>
      <c r="AC180" s="50">
        <v>6941</v>
      </c>
      <c r="AD180" s="50">
        <v>4456</v>
      </c>
      <c r="AE180" s="50"/>
      <c r="AF180" s="50" t="s">
        <v>557</v>
      </c>
      <c r="AG180" s="50" t="s">
        <v>558</v>
      </c>
      <c r="AH180" s="50"/>
      <c r="AI180" s="50">
        <f>8501+68</f>
        <v>8569</v>
      </c>
    </row>
    <row r="181" spans="1:35" ht="105.6" x14ac:dyDescent="0.25">
      <c r="A181" s="44">
        <v>119</v>
      </c>
      <c r="B181" s="45" t="s">
        <v>549</v>
      </c>
      <c r="C181" s="46" t="str">
        <f t="shared" ca="1" si="6"/>
        <v xml:space="preserve">Проводник заземляющий открыто по строительным основаниям: из круглой стали диаметром 8 мм
100 м
3053 руб. НР 81%=95%*0,85 от ФОТ (3769 руб.)
1960 руб.СП 52%=65%*0,8 от ФОТ (3769 руб.)
</v>
      </c>
      <c r="D181" s="44">
        <v>1.17</v>
      </c>
      <c r="E181" s="47" t="s">
        <v>550</v>
      </c>
      <c r="F181" s="47" t="s">
        <v>551</v>
      </c>
      <c r="G181" s="47">
        <v>301.01</v>
      </c>
      <c r="H181" s="58" t="s">
        <v>552</v>
      </c>
      <c r="I181" s="48">
        <v>5486</v>
      </c>
      <c r="J181" s="47">
        <v>3735</v>
      </c>
      <c r="K181" s="47" t="s">
        <v>559</v>
      </c>
      <c r="L181" s="47" t="str">
        <f>IF(1.17*301.01=0," ",TEXT(,ROUND((1.17*301.01*3.52),2)))</f>
        <v>1239,68</v>
      </c>
      <c r="M181" s="47" t="s">
        <v>554</v>
      </c>
      <c r="N181" s="47" t="s">
        <v>560</v>
      </c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 t="s">
        <v>556</v>
      </c>
      <c r="AB181" s="50" t="s">
        <v>41</v>
      </c>
      <c r="AC181" s="50">
        <v>3053</v>
      </c>
      <c r="AD181" s="50">
        <v>1960</v>
      </c>
      <c r="AE181" s="50"/>
      <c r="AF181" s="50" t="s">
        <v>557</v>
      </c>
      <c r="AG181" s="50" t="s">
        <v>558</v>
      </c>
      <c r="AH181" s="50"/>
      <c r="AI181" s="50">
        <f>3735+34</f>
        <v>3769</v>
      </c>
    </row>
    <row r="182" spans="1:35" ht="66" x14ac:dyDescent="0.25">
      <c r="A182" s="44">
        <v>120</v>
      </c>
      <c r="B182" s="45" t="s">
        <v>561</v>
      </c>
      <c r="C182" s="46" t="str">
        <f t="shared" ca="1" si="6"/>
        <v xml:space="preserve">Сталь листовая углеродистая обыкновенного качества марки ВСт3пс5 толщиной: 4-6 мм
т
</v>
      </c>
      <c r="D182" s="44" t="s">
        <v>562</v>
      </c>
      <c r="E182" s="47">
        <v>5763</v>
      </c>
      <c r="F182" s="47"/>
      <c r="G182" s="47">
        <v>5763</v>
      </c>
      <c r="H182" s="58" t="s">
        <v>563</v>
      </c>
      <c r="I182" s="48">
        <v>-4446</v>
      </c>
      <c r="J182" s="47"/>
      <c r="K182" s="47"/>
      <c r="L182" s="47" t="str">
        <f>IF(-0.1532*5763=0," ",TEXT(,ROUND((-0.1532*5763*5.035),2)))</f>
        <v>-4445,36</v>
      </c>
      <c r="M182" s="47"/>
      <c r="N182" s="47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 t="s">
        <v>564</v>
      </c>
      <c r="AG182" s="50" t="s">
        <v>170</v>
      </c>
      <c r="AH182" s="50"/>
      <c r="AI182" s="50">
        <f>0+0</f>
        <v>0</v>
      </c>
    </row>
    <row r="183" spans="1:35" ht="66" x14ac:dyDescent="0.25">
      <c r="A183" s="44">
        <v>121</v>
      </c>
      <c r="B183" s="45" t="s">
        <v>565</v>
      </c>
      <c r="C183" s="46" t="str">
        <f t="shared" ca="1" si="6"/>
        <v xml:space="preserve">Сталь круглая углеродистая обыкновенного качества марки ВСт3пс5-1 диаметром: 8 мм
т
</v>
      </c>
      <c r="D183" s="44" t="s">
        <v>566</v>
      </c>
      <c r="E183" s="47">
        <v>5230.01</v>
      </c>
      <c r="F183" s="47"/>
      <c r="G183" s="47">
        <v>5230.01</v>
      </c>
      <c r="H183" s="58" t="s">
        <v>567</v>
      </c>
      <c r="I183" s="48">
        <v>3953</v>
      </c>
      <c r="J183" s="47"/>
      <c r="K183" s="47"/>
      <c r="L183" s="47" t="str">
        <f>IF(0.15129*5230.01=0," ",TEXT(,ROUND((0.15129*5230.01*4.997),2)))</f>
        <v>3953,87</v>
      </c>
      <c r="M183" s="47"/>
      <c r="N183" s="47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 t="s">
        <v>568</v>
      </c>
      <c r="AG183" s="50" t="s">
        <v>170</v>
      </c>
      <c r="AH183" s="50"/>
      <c r="AI183" s="50">
        <f>0+0</f>
        <v>0</v>
      </c>
    </row>
    <row r="184" spans="1:35" ht="105.6" x14ac:dyDescent="0.25">
      <c r="A184" s="44">
        <v>122</v>
      </c>
      <c r="B184" s="45" t="s">
        <v>569</v>
      </c>
      <c r="C184" s="46" t="str">
        <f t="shared" ca="1" si="6"/>
        <v xml:space="preserve">Проводник заземляющий открыто по строительным основаниям: из круглой стали диаметром 12 мм
100 м
5106 руб. НР 81%=95%*0,85 от ФОТ (6304 руб.)
3278 руб.СП 52%=65%*0,8 от ФОТ (6304 руб.)
</v>
      </c>
      <c r="D184" s="44">
        <v>1.84</v>
      </c>
      <c r="E184" s="47" t="s">
        <v>570</v>
      </c>
      <c r="F184" s="47" t="s">
        <v>571</v>
      </c>
      <c r="G184" s="47">
        <v>105.21</v>
      </c>
      <c r="H184" s="58" t="s">
        <v>552</v>
      </c>
      <c r="I184" s="48">
        <v>7991</v>
      </c>
      <c r="J184" s="47">
        <v>6219</v>
      </c>
      <c r="K184" s="47" t="s">
        <v>572</v>
      </c>
      <c r="L184" s="47" t="str">
        <f>IF(1.84*105.21=0," ",TEXT(,ROUND((1.84*105.21*3.52),2)))</f>
        <v>681,42</v>
      </c>
      <c r="M184" s="47" t="s">
        <v>573</v>
      </c>
      <c r="N184" s="47" t="s">
        <v>574</v>
      </c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 t="s">
        <v>556</v>
      </c>
      <c r="AB184" s="50" t="s">
        <v>41</v>
      </c>
      <c r="AC184" s="50">
        <v>5106</v>
      </c>
      <c r="AD184" s="50">
        <v>3278</v>
      </c>
      <c r="AE184" s="50"/>
      <c r="AF184" s="50" t="s">
        <v>575</v>
      </c>
      <c r="AG184" s="50" t="s">
        <v>558</v>
      </c>
      <c r="AH184" s="50"/>
      <c r="AI184" s="50">
        <f>6219+85</f>
        <v>6304</v>
      </c>
    </row>
    <row r="185" spans="1:35" ht="66" x14ac:dyDescent="0.25">
      <c r="A185" s="44">
        <v>123</v>
      </c>
      <c r="B185" s="45" t="s">
        <v>576</v>
      </c>
      <c r="C185" s="46" t="str">
        <f t="shared" ca="1" si="6"/>
        <v xml:space="preserve">Сталь круглая углеродистая обыкновенного качества марки ВСт3пс5-1 диаметром: 18 мм
т
</v>
      </c>
      <c r="D185" s="44">
        <v>0.29071999999999998</v>
      </c>
      <c r="E185" s="47">
        <v>5230.01</v>
      </c>
      <c r="F185" s="47"/>
      <c r="G185" s="47">
        <v>5230.01</v>
      </c>
      <c r="H185" s="58" t="s">
        <v>577</v>
      </c>
      <c r="I185" s="48">
        <v>7395</v>
      </c>
      <c r="J185" s="47"/>
      <c r="K185" s="47"/>
      <c r="L185" s="47" t="str">
        <f>IF(0.29072*5230.01=0," ",TEXT(,ROUND((0.29072*5230.01*4.865),2)))</f>
        <v>7397,08</v>
      </c>
      <c r="M185" s="47"/>
      <c r="N185" s="47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 t="s">
        <v>578</v>
      </c>
      <c r="AG185" s="50" t="s">
        <v>170</v>
      </c>
      <c r="AH185" s="50"/>
      <c r="AI185" s="50">
        <f>0+0</f>
        <v>0</v>
      </c>
    </row>
    <row r="186" spans="1:35" ht="92.4" x14ac:dyDescent="0.25">
      <c r="A186" s="44">
        <v>124</v>
      </c>
      <c r="B186" s="45" t="s">
        <v>579</v>
      </c>
      <c r="C186" s="46" t="str">
        <f t="shared" ca="1" si="6"/>
        <v xml:space="preserve">Заземлитель вертикальный из круглой стали диаметром: 16 мм
10 шт.
876 руб. НР 81%=95%*0,85 от ФОТ (1082 руб.)
563 руб.СП 52%=65%*0,8 от ФОТ (1082 руб.)
</v>
      </c>
      <c r="D186" s="44">
        <v>0.8</v>
      </c>
      <c r="E186" s="47" t="s">
        <v>580</v>
      </c>
      <c r="F186" s="47" t="s">
        <v>581</v>
      </c>
      <c r="G186" s="47">
        <v>25.46</v>
      </c>
      <c r="H186" s="58" t="s">
        <v>582</v>
      </c>
      <c r="I186" s="48">
        <v>1485</v>
      </c>
      <c r="J186" s="47">
        <v>1048</v>
      </c>
      <c r="K186" s="47" t="s">
        <v>583</v>
      </c>
      <c r="L186" s="47" t="str">
        <f>IF(0.8*25.46=0," ",TEXT(,ROUND((0.8*25.46*3.6),2)))</f>
        <v>73,32</v>
      </c>
      <c r="M186" s="47" t="s">
        <v>584</v>
      </c>
      <c r="N186" s="47" t="s">
        <v>278</v>
      </c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 t="s">
        <v>556</v>
      </c>
      <c r="AB186" s="50" t="s">
        <v>41</v>
      </c>
      <c r="AC186" s="50">
        <v>876</v>
      </c>
      <c r="AD186" s="50">
        <v>563</v>
      </c>
      <c r="AE186" s="50"/>
      <c r="AF186" s="50" t="s">
        <v>585</v>
      </c>
      <c r="AG186" s="50" t="s">
        <v>586</v>
      </c>
      <c r="AH186" s="50"/>
      <c r="AI186" s="50">
        <f>1048+34</f>
        <v>1082</v>
      </c>
    </row>
    <row r="187" spans="1:35" ht="66" x14ac:dyDescent="0.25">
      <c r="A187" s="44">
        <v>125</v>
      </c>
      <c r="B187" s="45" t="s">
        <v>576</v>
      </c>
      <c r="C187" s="46" t="str">
        <f t="shared" ca="1" si="6"/>
        <v xml:space="preserve">Сталь круглая углеродистая обыкновенного качества марки ВСт3пс5-1 диаметром: 18 мм
т
</v>
      </c>
      <c r="D187" s="44">
        <v>6.3200000000000006E-2</v>
      </c>
      <c r="E187" s="47">
        <v>5230.01</v>
      </c>
      <c r="F187" s="47"/>
      <c r="G187" s="47">
        <v>5230.01</v>
      </c>
      <c r="H187" s="58" t="s">
        <v>577</v>
      </c>
      <c r="I187" s="48">
        <v>1610</v>
      </c>
      <c r="J187" s="47"/>
      <c r="K187" s="47"/>
      <c r="L187" s="47" t="str">
        <f>IF(0.0632*5230.01=0," ",TEXT(,ROUND((0.0632*5230.01*4.865),2)))</f>
        <v>1608,06</v>
      </c>
      <c r="M187" s="47"/>
      <c r="N187" s="47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 t="s">
        <v>578</v>
      </c>
      <c r="AG187" s="50" t="s">
        <v>170</v>
      </c>
      <c r="AH187" s="50"/>
      <c r="AI187" s="50">
        <f>0+0</f>
        <v>0</v>
      </c>
    </row>
    <row r="188" spans="1:35" ht="105.6" x14ac:dyDescent="0.25">
      <c r="A188" s="44">
        <v>126</v>
      </c>
      <c r="B188" s="45" t="s">
        <v>587</v>
      </c>
      <c r="C188" s="46" t="str">
        <f t="shared" ca="1" si="6"/>
        <v xml:space="preserve">Проводник заземляющий открыто по строительным основаниям: из полосовой стали сечением 160 мм2
100 м
288 руб. НР 81%=95%*0,85 от ФОТ (355 руб.)
185 руб.СП 52%=65%*0,8 от ФОТ (355 руб.)
</v>
      </c>
      <c r="D188" s="44">
        <v>0.104</v>
      </c>
      <c r="E188" s="47" t="s">
        <v>588</v>
      </c>
      <c r="F188" s="47" t="s">
        <v>589</v>
      </c>
      <c r="G188" s="47">
        <v>106.57</v>
      </c>
      <c r="H188" s="58" t="s">
        <v>552</v>
      </c>
      <c r="I188" s="48">
        <v>471</v>
      </c>
      <c r="J188" s="47">
        <v>355</v>
      </c>
      <c r="K188" s="47">
        <v>77</v>
      </c>
      <c r="L188" s="47" t="str">
        <f>IF(0.104*106.57=0," ",TEXT(,ROUND((0.104*106.57*3.52),2)))</f>
        <v>39,01</v>
      </c>
      <c r="M188" s="47" t="s">
        <v>590</v>
      </c>
      <c r="N188" s="47" t="s">
        <v>591</v>
      </c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 t="s">
        <v>556</v>
      </c>
      <c r="AB188" s="50" t="s">
        <v>41</v>
      </c>
      <c r="AC188" s="50">
        <v>288</v>
      </c>
      <c r="AD188" s="50">
        <v>185</v>
      </c>
      <c r="AE188" s="50"/>
      <c r="AF188" s="50" t="s">
        <v>592</v>
      </c>
      <c r="AG188" s="50" t="s">
        <v>558</v>
      </c>
      <c r="AH188" s="50"/>
      <c r="AI188" s="50">
        <f>355+0</f>
        <v>355</v>
      </c>
    </row>
    <row r="189" spans="1:35" ht="66" x14ac:dyDescent="0.25">
      <c r="A189" s="44">
        <v>127</v>
      </c>
      <c r="B189" s="45" t="s">
        <v>561</v>
      </c>
      <c r="C189" s="46" t="str">
        <f t="shared" ca="1" si="6"/>
        <v xml:space="preserve">Сталь листовая углеродистая обыкновенного качества марки ВСт3пс5 толщиной: 4-6 мм
т
</v>
      </c>
      <c r="D189" s="44">
        <v>1.6240000000000001E-2</v>
      </c>
      <c r="E189" s="47">
        <v>5763</v>
      </c>
      <c r="F189" s="47"/>
      <c r="G189" s="47">
        <v>5763</v>
      </c>
      <c r="H189" s="58" t="s">
        <v>563</v>
      </c>
      <c r="I189" s="48">
        <v>473</v>
      </c>
      <c r="J189" s="47"/>
      <c r="K189" s="47"/>
      <c r="L189" s="47" t="str">
        <f>IF(0.01624*5763=0," ",TEXT(,ROUND((0.01624*5763*5.035),2)))</f>
        <v>471,23</v>
      </c>
      <c r="M189" s="47"/>
      <c r="N189" s="47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 t="s">
        <v>564</v>
      </c>
      <c r="AG189" s="50" t="s">
        <v>170</v>
      </c>
      <c r="AH189" s="50"/>
      <c r="AI189" s="50">
        <f>0+0</f>
        <v>0</v>
      </c>
    </row>
    <row r="190" spans="1:35" ht="92.4" x14ac:dyDescent="0.25">
      <c r="A190" s="44">
        <v>128</v>
      </c>
      <c r="B190" s="45" t="s">
        <v>593</v>
      </c>
      <c r="C190" s="46" t="str">
        <f t="shared" ca="1" si="6"/>
        <v xml:space="preserve">Измерение сопротивления растеканию тока: заземлителя
1 измерение
576 руб. НР 55%=65%*0,85 от ФОТ (1048 руб.)
335 руб.СП 32%=40%*0,8 от ФОТ (1048 руб.)
</v>
      </c>
      <c r="D190" s="44">
        <v>4</v>
      </c>
      <c r="E190" s="47" t="s">
        <v>594</v>
      </c>
      <c r="F190" s="47"/>
      <c r="G190" s="47"/>
      <c r="H190" s="58" t="s">
        <v>595</v>
      </c>
      <c r="I190" s="48">
        <v>1048</v>
      </c>
      <c r="J190" s="47">
        <v>1048</v>
      </c>
      <c r="K190" s="47"/>
      <c r="L190" s="47" t="str">
        <f>IF(4*0=0," ",TEXT(,ROUND((4*0*1),2)))</f>
        <v xml:space="preserve"> </v>
      </c>
      <c r="M190" s="47">
        <v>1.22</v>
      </c>
      <c r="N190" s="47">
        <v>4.88</v>
      </c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 t="s">
        <v>596</v>
      </c>
      <c r="AB190" s="50" t="s">
        <v>597</v>
      </c>
      <c r="AC190" s="50">
        <v>576</v>
      </c>
      <c r="AD190" s="50">
        <v>335</v>
      </c>
      <c r="AE190" s="50"/>
      <c r="AF190" s="50" t="s">
        <v>598</v>
      </c>
      <c r="AG190" s="50" t="s">
        <v>599</v>
      </c>
      <c r="AH190" s="50"/>
      <c r="AI190" s="50">
        <f>1048+0</f>
        <v>1048</v>
      </c>
    </row>
    <row r="191" spans="1:35" ht="171.6" x14ac:dyDescent="0.25">
      <c r="A191" s="44">
        <v>129</v>
      </c>
      <c r="B191" s="45" t="s">
        <v>600</v>
      </c>
      <c r="C191" s="46" t="str">
        <f t="shared" ca="1" si="6"/>
        <v xml:space="preserve"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12985 руб. НР 78%=92%*0,85 от ФОТ (16647 руб.)
8656 руб.СП 52%=65%*0,8 от ФОТ (16647 руб.)
</v>
      </c>
      <c r="D191" s="44">
        <v>4</v>
      </c>
      <c r="E191" s="47" t="s">
        <v>601</v>
      </c>
      <c r="F191" s="47"/>
      <c r="G191" s="47">
        <v>4.93</v>
      </c>
      <c r="H191" s="58" t="s">
        <v>602</v>
      </c>
      <c r="I191" s="48">
        <v>16758</v>
      </c>
      <c r="J191" s="47">
        <v>16647</v>
      </c>
      <c r="K191" s="47"/>
      <c r="L191" s="47" t="str">
        <f>IF(4*4.93=0," ",TEXT(,ROUND((4*4.93*5.56),2)))</f>
        <v>109,64</v>
      </c>
      <c r="M191" s="47">
        <v>23.8</v>
      </c>
      <c r="N191" s="47">
        <v>95.2</v>
      </c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 t="s">
        <v>603</v>
      </c>
      <c r="AB191" s="50" t="s">
        <v>41</v>
      </c>
      <c r="AC191" s="50">
        <v>12985</v>
      </c>
      <c r="AD191" s="50">
        <v>8656</v>
      </c>
      <c r="AE191" s="50"/>
      <c r="AF191" s="50" t="s">
        <v>604</v>
      </c>
      <c r="AG191" s="50" t="s">
        <v>605</v>
      </c>
      <c r="AH191" s="50"/>
      <c r="AI191" s="50">
        <f>16647+0</f>
        <v>16647</v>
      </c>
    </row>
    <row r="192" spans="1:35" ht="92.4" x14ac:dyDescent="0.25">
      <c r="A192" s="44">
        <v>130</v>
      </c>
      <c r="B192" s="45" t="s">
        <v>606</v>
      </c>
      <c r="C192" s="46" t="str">
        <f t="shared" ca="1" si="6"/>
        <v xml:space="preserve">Трубы стальные бесшовные, горячедеформированные со снятой фаской из стали марок 15, 20, 25, наружным диаметром: 57 мм, толщина стенки 4 мм
м
</v>
      </c>
      <c r="D192" s="44" t="s">
        <v>607</v>
      </c>
      <c r="E192" s="47">
        <v>47.03</v>
      </c>
      <c r="F192" s="47"/>
      <c r="G192" s="47">
        <v>47.03</v>
      </c>
      <c r="H192" s="58" t="s">
        <v>608</v>
      </c>
      <c r="I192" s="48">
        <v>7427</v>
      </c>
      <c r="J192" s="47"/>
      <c r="K192" s="47"/>
      <c r="L192" s="47" t="str">
        <f>IF(28*47.03=0," ",TEXT(,ROUND((28*47.03*5.639),2)))</f>
        <v>7425,66</v>
      </c>
      <c r="M192" s="47"/>
      <c r="N192" s="47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 t="s">
        <v>609</v>
      </c>
      <c r="AG192" s="50" t="s">
        <v>379</v>
      </c>
      <c r="AH192" s="50"/>
      <c r="AI192" s="50">
        <f>0+0</f>
        <v>0</v>
      </c>
    </row>
    <row r="193" spans="1:35" ht="79.2" x14ac:dyDescent="0.25">
      <c r="A193" s="44">
        <v>131</v>
      </c>
      <c r="B193" s="45" t="s">
        <v>387</v>
      </c>
      <c r="C193" s="46" t="str">
        <f t="shared" ca="1" si="6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93" s="44" t="s">
        <v>610</v>
      </c>
      <c r="E193" s="47">
        <v>10100</v>
      </c>
      <c r="F193" s="47"/>
      <c r="G193" s="47">
        <v>10100</v>
      </c>
      <c r="H193" s="58" t="s">
        <v>389</v>
      </c>
      <c r="I193" s="48">
        <v>54</v>
      </c>
      <c r="J193" s="47"/>
      <c r="K193" s="47"/>
      <c r="L193" s="47" t="str">
        <f>IF(0.00108*10100=0," ",TEXT(,ROUND((0.00108*10100*4.94),2)))</f>
        <v>53,89</v>
      </c>
      <c r="M193" s="47"/>
      <c r="N193" s="47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 t="s">
        <v>390</v>
      </c>
      <c r="AG193" s="50" t="s">
        <v>170</v>
      </c>
      <c r="AH193" s="50"/>
      <c r="AI193" s="50">
        <f>0+0</f>
        <v>0</v>
      </c>
    </row>
    <row r="194" spans="1:35" ht="66" x14ac:dyDescent="0.25">
      <c r="A194" s="44">
        <v>132</v>
      </c>
      <c r="B194" s="45" t="s">
        <v>611</v>
      </c>
      <c r="C194" s="46" t="str">
        <f t="shared" ca="1" si="6"/>
        <v xml:space="preserve">Растяжки с талрепами к дефлекторам диаметром патрубка: 280 мм
шт.
</v>
      </c>
      <c r="D194" s="44" t="s">
        <v>612</v>
      </c>
      <c r="E194" s="47">
        <v>17.16</v>
      </c>
      <c r="F194" s="47"/>
      <c r="G194" s="47">
        <v>17.16</v>
      </c>
      <c r="H194" s="58" t="s">
        <v>613</v>
      </c>
      <c r="I194" s="48">
        <v>1250</v>
      </c>
      <c r="J194" s="47"/>
      <c r="K194" s="47"/>
      <c r="L194" s="47" t="str">
        <f>IF(12*17.16=0," ",TEXT(,ROUND((12*17.16*6.069),2)))</f>
        <v>1249,73</v>
      </c>
      <c r="M194" s="47"/>
      <c r="N194" s="47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 t="s">
        <v>614</v>
      </c>
      <c r="AG194" s="50" t="s">
        <v>229</v>
      </c>
      <c r="AH194" s="50"/>
      <c r="AI194" s="50">
        <f>0+0</f>
        <v>0</v>
      </c>
    </row>
    <row r="195" spans="1:35" ht="66" x14ac:dyDescent="0.25">
      <c r="A195" s="44">
        <v>133</v>
      </c>
      <c r="B195" s="45" t="s">
        <v>561</v>
      </c>
      <c r="C195" s="46" t="str">
        <f t="shared" ca="1" si="6"/>
        <v xml:space="preserve">Сталь листовая углеродистая обыкновенного качества марки ВСт3пс5 толщиной: 4-6 мм
т
</v>
      </c>
      <c r="D195" s="44">
        <v>3.14E-3</v>
      </c>
      <c r="E195" s="47">
        <v>5763</v>
      </c>
      <c r="F195" s="47"/>
      <c r="G195" s="47">
        <v>5763</v>
      </c>
      <c r="H195" s="58" t="s">
        <v>563</v>
      </c>
      <c r="I195" s="48">
        <v>91</v>
      </c>
      <c r="J195" s="47"/>
      <c r="K195" s="47"/>
      <c r="L195" s="47" t="str">
        <f>IF(0.00314*5763=0," ",TEXT(,ROUND((0.00314*5763*5.035),2)))</f>
        <v>91,11</v>
      </c>
      <c r="M195" s="47"/>
      <c r="N195" s="47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 t="s">
        <v>564</v>
      </c>
      <c r="AG195" s="50" t="s">
        <v>170</v>
      </c>
      <c r="AH195" s="50"/>
      <c r="AI195" s="50">
        <f>0+0</f>
        <v>0</v>
      </c>
    </row>
    <row r="196" spans="1:35" ht="52.8" x14ac:dyDescent="0.25">
      <c r="A196" s="52">
        <v>134</v>
      </c>
      <c r="B196" s="53" t="s">
        <v>615</v>
      </c>
      <c r="C196" s="54" t="str">
        <f t="shared" ca="1" si="6"/>
        <v xml:space="preserve">Болт анкерный диаметром 12 мм
шт.
</v>
      </c>
      <c r="D196" s="52">
        <v>36</v>
      </c>
      <c r="E196" s="55">
        <v>2.9</v>
      </c>
      <c r="F196" s="55"/>
      <c r="G196" s="55">
        <v>2.9</v>
      </c>
      <c r="H196" s="56" t="s">
        <v>616</v>
      </c>
      <c r="I196" s="57">
        <v>558</v>
      </c>
      <c r="J196" s="55"/>
      <c r="K196" s="55"/>
      <c r="L196" s="55" t="str">
        <f>IF(36*2.9=0," ",TEXT(,ROUND((36*2.9*5.37),2)))</f>
        <v>560,63</v>
      </c>
      <c r="M196" s="55"/>
      <c r="N196" s="55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 t="s">
        <v>617</v>
      </c>
      <c r="AG196" s="50" t="s">
        <v>229</v>
      </c>
      <c r="AH196" s="50"/>
      <c r="AI196" s="50">
        <f>0+0</f>
        <v>0</v>
      </c>
    </row>
    <row r="197" spans="1:35" ht="26.4" x14ac:dyDescent="0.25">
      <c r="A197" s="70" t="s">
        <v>124</v>
      </c>
      <c r="B197" s="65"/>
      <c r="C197" s="65"/>
      <c r="D197" s="65"/>
      <c r="E197" s="65"/>
      <c r="F197" s="65"/>
      <c r="G197" s="65"/>
      <c r="H197" s="65"/>
      <c r="I197" s="48">
        <v>7506</v>
      </c>
      <c r="J197" s="47">
        <v>2222</v>
      </c>
      <c r="K197" s="47" t="s">
        <v>618</v>
      </c>
      <c r="L197" s="47">
        <v>4907</v>
      </c>
      <c r="M197" s="47"/>
      <c r="N197" s="47" t="s">
        <v>619</v>
      </c>
      <c r="O197" s="17"/>
      <c r="P197" s="18"/>
      <c r="Q197" s="17"/>
      <c r="R197" s="17"/>
      <c r="S197" s="17"/>
    </row>
    <row r="198" spans="1:35" ht="26.4" x14ac:dyDescent="0.25">
      <c r="A198" s="70" t="s">
        <v>127</v>
      </c>
      <c r="B198" s="65"/>
      <c r="C198" s="65"/>
      <c r="D198" s="65"/>
      <c r="E198" s="65"/>
      <c r="F198" s="65"/>
      <c r="G198" s="65"/>
      <c r="H198" s="65"/>
      <c r="I198" s="48">
        <v>64090</v>
      </c>
      <c r="J198" s="47">
        <v>37553</v>
      </c>
      <c r="K198" s="47" t="s">
        <v>620</v>
      </c>
      <c r="L198" s="47">
        <v>23329</v>
      </c>
      <c r="M198" s="47"/>
      <c r="N198" s="47" t="s">
        <v>619</v>
      </c>
      <c r="O198" s="17"/>
      <c r="P198" s="18"/>
      <c r="Q198" s="17"/>
      <c r="R198" s="17"/>
      <c r="S198" s="17"/>
    </row>
    <row r="199" spans="1:35" x14ac:dyDescent="0.25">
      <c r="A199" s="70" t="s">
        <v>129</v>
      </c>
      <c r="B199" s="65"/>
      <c r="C199" s="65"/>
      <c r="D199" s="65"/>
      <c r="E199" s="65"/>
      <c r="F199" s="65"/>
      <c r="G199" s="65"/>
      <c r="H199" s="65"/>
      <c r="I199" s="48">
        <v>29824</v>
      </c>
      <c r="J199" s="47"/>
      <c r="K199" s="47"/>
      <c r="L199" s="47"/>
      <c r="M199" s="47"/>
      <c r="N199" s="47"/>
      <c r="O199" s="17"/>
      <c r="P199" s="18"/>
      <c r="Q199" s="17"/>
      <c r="R199" s="17"/>
      <c r="S199" s="17"/>
    </row>
    <row r="200" spans="1:35" x14ac:dyDescent="0.25">
      <c r="A200" s="70" t="s">
        <v>130</v>
      </c>
      <c r="B200" s="65"/>
      <c r="C200" s="65"/>
      <c r="D200" s="65"/>
      <c r="E200" s="65"/>
      <c r="F200" s="65"/>
      <c r="G200" s="65"/>
      <c r="H200" s="65"/>
      <c r="I200" s="48">
        <v>19432</v>
      </c>
      <c r="J200" s="47"/>
      <c r="K200" s="47"/>
      <c r="L200" s="47"/>
      <c r="M200" s="47"/>
      <c r="N200" s="47"/>
      <c r="O200" s="17"/>
      <c r="P200" s="18"/>
      <c r="Q200" s="17"/>
      <c r="R200" s="17"/>
      <c r="S200" s="17"/>
    </row>
    <row r="201" spans="1:35" ht="26.4" x14ac:dyDescent="0.25">
      <c r="A201" s="71" t="s">
        <v>621</v>
      </c>
      <c r="B201" s="72"/>
      <c r="C201" s="72"/>
      <c r="D201" s="72"/>
      <c r="E201" s="72"/>
      <c r="F201" s="72"/>
      <c r="G201" s="72"/>
      <c r="H201" s="72"/>
      <c r="I201" s="59">
        <v>113346</v>
      </c>
      <c r="J201" s="60"/>
      <c r="K201" s="60"/>
      <c r="L201" s="60"/>
      <c r="M201" s="60"/>
      <c r="N201" s="60" t="s">
        <v>619</v>
      </c>
      <c r="O201" s="17"/>
      <c r="P201" s="18"/>
      <c r="Q201" s="17"/>
      <c r="R201" s="17"/>
      <c r="S201" s="17"/>
    </row>
    <row r="202" spans="1:35" ht="21" customHeight="1" x14ac:dyDescent="0.25">
      <c r="A202" s="68" t="s">
        <v>622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</row>
    <row r="203" spans="1:35" ht="79.2" x14ac:dyDescent="0.25">
      <c r="A203" s="44">
        <v>135</v>
      </c>
      <c r="B203" s="45" t="s">
        <v>623</v>
      </c>
      <c r="C203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3" s="44" t="s">
        <v>624</v>
      </c>
      <c r="E203" s="47" t="s">
        <v>625</v>
      </c>
      <c r="F203" s="47"/>
      <c r="G203" s="47"/>
      <c r="H203" s="58" t="s">
        <v>626</v>
      </c>
      <c r="I203" s="48">
        <v>2304</v>
      </c>
      <c r="J203" s="47">
        <v>2304</v>
      </c>
      <c r="K203" s="47"/>
      <c r="L203" s="47" t="str">
        <f>IF(4.8231*0=0," ",TEXT(,ROUND((4.8231*0*1),2)))</f>
        <v xml:space="preserve"> </v>
      </c>
      <c r="M203" s="47"/>
      <c r="N203" s="47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 t="s">
        <v>627</v>
      </c>
      <c r="AB203" s="50" t="s">
        <v>628</v>
      </c>
      <c r="AC203" s="50"/>
      <c r="AD203" s="50"/>
      <c r="AE203" s="50"/>
      <c r="AF203" s="50" t="s">
        <v>629</v>
      </c>
      <c r="AG203" s="50" t="s">
        <v>630</v>
      </c>
      <c r="AH203" s="50"/>
      <c r="AI203" s="50">
        <f>2304+0</f>
        <v>2304</v>
      </c>
    </row>
    <row r="204" spans="1:35" ht="79.2" x14ac:dyDescent="0.25">
      <c r="A204" s="44">
        <v>136</v>
      </c>
      <c r="B204" s="45" t="s">
        <v>631</v>
      </c>
      <c r="C204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204" s="44" t="s">
        <v>632</v>
      </c>
      <c r="E204" s="47">
        <v>3.28</v>
      </c>
      <c r="F204" s="47">
        <v>3.28</v>
      </c>
      <c r="G204" s="47"/>
      <c r="H204" s="58" t="s">
        <v>633</v>
      </c>
      <c r="I204" s="48">
        <v>5939</v>
      </c>
      <c r="J204" s="47"/>
      <c r="K204" s="47">
        <v>5939</v>
      </c>
      <c r="L204" s="47" t="str">
        <f>IF(155.9469*0=0," ",TEXT(,ROUND((155.9469*0*1),2)))</f>
        <v xml:space="preserve"> </v>
      </c>
      <c r="M204" s="47"/>
      <c r="N204" s="47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 t="s">
        <v>627</v>
      </c>
      <c r="AB204" s="50" t="s">
        <v>628</v>
      </c>
      <c r="AC204" s="50"/>
      <c r="AD204" s="50"/>
      <c r="AE204" s="50"/>
      <c r="AF204" s="50" t="s">
        <v>634</v>
      </c>
      <c r="AG204" s="50" t="s">
        <v>630</v>
      </c>
      <c r="AH204" s="50"/>
      <c r="AI204" s="50">
        <f>0+0</f>
        <v>0</v>
      </c>
    </row>
    <row r="205" spans="1:35" ht="171.6" x14ac:dyDescent="0.25">
      <c r="A205" s="52">
        <v>137</v>
      </c>
      <c r="B205" s="53" t="s">
        <v>635</v>
      </c>
      <c r="C205" s="54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5" s="52" t="s">
        <v>636</v>
      </c>
      <c r="E205" s="55">
        <v>13.38</v>
      </c>
      <c r="F205" s="55">
        <v>13.38</v>
      </c>
      <c r="G205" s="55"/>
      <c r="H205" s="56" t="s">
        <v>637</v>
      </c>
      <c r="I205" s="57">
        <v>21166</v>
      </c>
      <c r="J205" s="55"/>
      <c r="K205" s="55">
        <v>21166</v>
      </c>
      <c r="L205" s="55" t="str">
        <f>IF(160.77*0=0," ",TEXT(,ROUND((160.77*0*1),2)))</f>
        <v xml:space="preserve"> </v>
      </c>
      <c r="M205" s="55"/>
      <c r="N205" s="55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 t="s">
        <v>163</v>
      </c>
      <c r="AB205" s="50" t="s">
        <v>164</v>
      </c>
      <c r="AC205" s="50"/>
      <c r="AD205" s="50"/>
      <c r="AE205" s="50"/>
      <c r="AF205" s="50" t="s">
        <v>638</v>
      </c>
      <c r="AG205" s="50" t="s">
        <v>630</v>
      </c>
      <c r="AH205" s="50"/>
      <c r="AI205" s="50">
        <f>0+0</f>
        <v>0</v>
      </c>
    </row>
    <row r="206" spans="1:35" x14ac:dyDescent="0.25">
      <c r="A206" s="70" t="s">
        <v>124</v>
      </c>
      <c r="B206" s="65"/>
      <c r="C206" s="65"/>
      <c r="D206" s="65"/>
      <c r="E206" s="65"/>
      <c r="F206" s="65"/>
      <c r="G206" s="65"/>
      <c r="H206" s="65"/>
      <c r="I206" s="48">
        <v>2870</v>
      </c>
      <c r="J206" s="47">
        <v>207</v>
      </c>
      <c r="K206" s="47">
        <v>2663</v>
      </c>
      <c r="L206" s="47"/>
      <c r="M206" s="47"/>
      <c r="N206" s="47"/>
      <c r="O206" s="17"/>
      <c r="P206" s="18"/>
      <c r="Q206" s="17"/>
      <c r="R206" s="17"/>
      <c r="S206" s="17"/>
    </row>
    <row r="207" spans="1:35" x14ac:dyDescent="0.25">
      <c r="A207" s="70" t="s">
        <v>127</v>
      </c>
      <c r="B207" s="65"/>
      <c r="C207" s="65"/>
      <c r="D207" s="65"/>
      <c r="E207" s="65"/>
      <c r="F207" s="65"/>
      <c r="G207" s="65"/>
      <c r="H207" s="65"/>
      <c r="I207" s="48">
        <v>29409</v>
      </c>
      <c r="J207" s="47">
        <v>2304</v>
      </c>
      <c r="K207" s="47">
        <v>27105</v>
      </c>
      <c r="L207" s="47"/>
      <c r="M207" s="47"/>
      <c r="N207" s="47"/>
      <c r="O207" s="17"/>
      <c r="P207" s="18"/>
      <c r="Q207" s="17"/>
      <c r="R207" s="17"/>
      <c r="S207" s="17"/>
    </row>
    <row r="208" spans="1:35" x14ac:dyDescent="0.25">
      <c r="A208" s="71" t="s">
        <v>639</v>
      </c>
      <c r="B208" s="72"/>
      <c r="C208" s="72"/>
      <c r="D208" s="72"/>
      <c r="E208" s="72"/>
      <c r="F208" s="72"/>
      <c r="G208" s="72"/>
      <c r="H208" s="72"/>
      <c r="I208" s="59">
        <v>29409</v>
      </c>
      <c r="J208" s="60"/>
      <c r="K208" s="60"/>
      <c r="L208" s="55"/>
      <c r="M208" s="55"/>
      <c r="N208" s="55"/>
      <c r="O208" s="17"/>
      <c r="P208" s="18"/>
      <c r="Q208" s="17"/>
      <c r="R208" s="17"/>
      <c r="S208" s="17"/>
    </row>
    <row r="209" spans="1:19" ht="26.4" x14ac:dyDescent="0.25">
      <c r="A209" s="64" t="s">
        <v>640</v>
      </c>
      <c r="B209" s="65"/>
      <c r="C209" s="65"/>
      <c r="D209" s="65"/>
      <c r="E209" s="65"/>
      <c r="F209" s="65"/>
      <c r="G209" s="65"/>
      <c r="H209" s="65"/>
      <c r="I209" s="62">
        <v>653686</v>
      </c>
      <c r="J209" s="62">
        <v>49305</v>
      </c>
      <c r="K209" s="62" t="s">
        <v>641</v>
      </c>
      <c r="L209" s="62">
        <v>589132</v>
      </c>
      <c r="M209" s="62"/>
      <c r="N209" s="62" t="s">
        <v>642</v>
      </c>
      <c r="O209" s="17"/>
      <c r="P209" s="18"/>
      <c r="Q209" s="17"/>
      <c r="R209" s="17"/>
      <c r="S209" s="17"/>
    </row>
    <row r="210" spans="1:19" ht="26.4" x14ac:dyDescent="0.25">
      <c r="A210" s="64" t="s">
        <v>643</v>
      </c>
      <c r="B210" s="65"/>
      <c r="C210" s="65"/>
      <c r="D210" s="65"/>
      <c r="E210" s="65"/>
      <c r="F210" s="65"/>
      <c r="G210" s="65"/>
      <c r="H210" s="65"/>
      <c r="I210" s="62">
        <v>661531</v>
      </c>
      <c r="J210" s="62">
        <v>54611</v>
      </c>
      <c r="K210" s="62" t="s">
        <v>644</v>
      </c>
      <c r="L210" s="62">
        <v>589132</v>
      </c>
      <c r="M210" s="62"/>
      <c r="N210" s="62" t="s">
        <v>645</v>
      </c>
      <c r="O210" s="17"/>
      <c r="P210" s="18"/>
      <c r="Q210" s="17"/>
      <c r="R210" s="17"/>
      <c r="S210" s="17"/>
    </row>
    <row r="211" spans="1:19" ht="26.4" x14ac:dyDescent="0.25">
      <c r="A211" s="64" t="s">
        <v>646</v>
      </c>
      <c r="B211" s="65"/>
      <c r="C211" s="65"/>
      <c r="D211" s="65"/>
      <c r="E211" s="65"/>
      <c r="F211" s="65"/>
      <c r="G211" s="65"/>
      <c r="H211" s="65"/>
      <c r="I211" s="62">
        <v>3995409</v>
      </c>
      <c r="J211" s="62">
        <v>921737</v>
      </c>
      <c r="K211" s="62" t="s">
        <v>647</v>
      </c>
      <c r="L211" s="62">
        <v>2875232</v>
      </c>
      <c r="M211" s="62"/>
      <c r="N211" s="62" t="s">
        <v>645</v>
      </c>
      <c r="O211" s="17"/>
      <c r="P211" s="18"/>
      <c r="Q211" s="17"/>
      <c r="R211" s="17"/>
      <c r="S211" s="17"/>
    </row>
    <row r="212" spans="1:19" x14ac:dyDescent="0.25">
      <c r="A212" s="64" t="s">
        <v>129</v>
      </c>
      <c r="B212" s="65"/>
      <c r="C212" s="65"/>
      <c r="D212" s="65"/>
      <c r="E212" s="65"/>
      <c r="F212" s="65"/>
      <c r="G212" s="65"/>
      <c r="H212" s="65"/>
      <c r="I212" s="62">
        <v>804622</v>
      </c>
      <c r="J212" s="62"/>
      <c r="K212" s="62"/>
      <c r="L212" s="62"/>
      <c r="M212" s="62"/>
      <c r="N212" s="62"/>
      <c r="O212" s="17"/>
      <c r="P212" s="18"/>
      <c r="Q212" s="17"/>
      <c r="R212" s="17"/>
      <c r="S212" s="17"/>
    </row>
    <row r="213" spans="1:19" x14ac:dyDescent="0.25">
      <c r="A213" s="64" t="s">
        <v>130</v>
      </c>
      <c r="B213" s="65"/>
      <c r="C213" s="65"/>
      <c r="D213" s="65"/>
      <c r="E213" s="65"/>
      <c r="F213" s="65"/>
      <c r="G213" s="65"/>
      <c r="H213" s="65"/>
      <c r="I213" s="62">
        <v>431254</v>
      </c>
      <c r="J213" s="62"/>
      <c r="K213" s="62"/>
      <c r="L213" s="62"/>
      <c r="M213" s="62"/>
      <c r="N213" s="62"/>
      <c r="O213" s="17"/>
      <c r="P213" s="18"/>
      <c r="Q213" s="17"/>
      <c r="R213" s="17"/>
      <c r="S213" s="17"/>
    </row>
    <row r="214" spans="1:19" x14ac:dyDescent="0.25">
      <c r="A214" s="66" t="s">
        <v>648</v>
      </c>
      <c r="B214" s="67"/>
      <c r="C214" s="67"/>
      <c r="D214" s="67"/>
      <c r="E214" s="67"/>
      <c r="F214" s="67"/>
      <c r="G214" s="67"/>
      <c r="H214" s="67"/>
      <c r="I214" s="63"/>
      <c r="J214" s="63"/>
      <c r="K214" s="63"/>
      <c r="L214" s="63"/>
      <c r="M214" s="63"/>
      <c r="N214" s="63"/>
      <c r="O214" s="17"/>
      <c r="P214" s="18"/>
      <c r="Q214" s="17"/>
      <c r="R214" s="17"/>
      <c r="S214" s="17"/>
    </row>
    <row r="215" spans="1:19" ht="26.4" x14ac:dyDescent="0.25">
      <c r="A215" s="64" t="s">
        <v>649</v>
      </c>
      <c r="B215" s="65"/>
      <c r="C215" s="65"/>
      <c r="D215" s="65"/>
      <c r="E215" s="65"/>
      <c r="F215" s="65"/>
      <c r="G215" s="65"/>
      <c r="H215" s="65"/>
      <c r="I215" s="62">
        <v>5117939</v>
      </c>
      <c r="J215" s="62"/>
      <c r="K215" s="62"/>
      <c r="L215" s="62"/>
      <c r="M215" s="62"/>
      <c r="N215" s="62" t="s">
        <v>650</v>
      </c>
      <c r="O215" s="17"/>
      <c r="P215" s="18"/>
      <c r="Q215" s="17"/>
      <c r="R215" s="17"/>
      <c r="S215" s="17"/>
    </row>
    <row r="216" spans="1:19" ht="26.4" x14ac:dyDescent="0.25">
      <c r="A216" s="64" t="s">
        <v>651</v>
      </c>
      <c r="B216" s="65"/>
      <c r="C216" s="65"/>
      <c r="D216" s="65"/>
      <c r="E216" s="65"/>
      <c r="F216" s="65"/>
      <c r="G216" s="65"/>
      <c r="H216" s="65"/>
      <c r="I216" s="62">
        <v>111387</v>
      </c>
      <c r="J216" s="62"/>
      <c r="K216" s="62"/>
      <c r="L216" s="62"/>
      <c r="M216" s="62"/>
      <c r="N216" s="62" t="s">
        <v>652</v>
      </c>
      <c r="O216" s="17"/>
      <c r="P216" s="18"/>
      <c r="Q216" s="17"/>
      <c r="R216" s="17"/>
      <c r="S216" s="17"/>
    </row>
    <row r="217" spans="1:19" x14ac:dyDescent="0.25">
      <c r="A217" s="64" t="s">
        <v>653</v>
      </c>
      <c r="B217" s="65"/>
      <c r="C217" s="65"/>
      <c r="D217" s="65"/>
      <c r="E217" s="65"/>
      <c r="F217" s="65"/>
      <c r="G217" s="65"/>
      <c r="H217" s="65"/>
      <c r="I217" s="62">
        <v>1959</v>
      </c>
      <c r="J217" s="62"/>
      <c r="K217" s="62"/>
      <c r="L217" s="62"/>
      <c r="M217" s="62"/>
      <c r="N217" s="62">
        <v>4.88</v>
      </c>
      <c r="O217" s="17"/>
      <c r="P217" s="18"/>
      <c r="Q217" s="17"/>
      <c r="R217" s="17"/>
      <c r="S217" s="17"/>
    </row>
    <row r="218" spans="1:19" ht="26.4" x14ac:dyDescent="0.25">
      <c r="A218" s="64" t="s">
        <v>654</v>
      </c>
      <c r="B218" s="65"/>
      <c r="C218" s="65"/>
      <c r="D218" s="65"/>
      <c r="E218" s="65"/>
      <c r="F218" s="65"/>
      <c r="G218" s="65"/>
      <c r="H218" s="65"/>
      <c r="I218" s="62">
        <v>5231285</v>
      </c>
      <c r="J218" s="62"/>
      <c r="K218" s="62"/>
      <c r="L218" s="62"/>
      <c r="M218" s="62"/>
      <c r="N218" s="62" t="s">
        <v>645</v>
      </c>
      <c r="O218" s="17"/>
      <c r="P218" s="18"/>
      <c r="Q218" s="17"/>
      <c r="R218" s="17"/>
      <c r="S218" s="17"/>
    </row>
    <row r="219" spans="1:19" x14ac:dyDescent="0.25">
      <c r="A219" s="64" t="s">
        <v>655</v>
      </c>
      <c r="B219" s="65"/>
      <c r="C219" s="65"/>
      <c r="D219" s="65"/>
      <c r="E219" s="65"/>
      <c r="F219" s="65"/>
      <c r="G219" s="65"/>
      <c r="H219" s="65"/>
      <c r="I219" s="62"/>
      <c r="J219" s="62"/>
      <c r="K219" s="62"/>
      <c r="L219" s="62"/>
      <c r="M219" s="62"/>
      <c r="N219" s="62"/>
      <c r="O219" s="17"/>
      <c r="P219" s="18"/>
      <c r="Q219" s="17"/>
      <c r="R219" s="17"/>
      <c r="S219" s="17"/>
    </row>
    <row r="220" spans="1:19" x14ac:dyDescent="0.25">
      <c r="A220" s="64" t="s">
        <v>656</v>
      </c>
      <c r="B220" s="65"/>
      <c r="C220" s="65"/>
      <c r="D220" s="65"/>
      <c r="E220" s="65"/>
      <c r="F220" s="65"/>
      <c r="G220" s="65"/>
      <c r="H220" s="65"/>
      <c r="I220" s="62">
        <v>2875232</v>
      </c>
      <c r="J220" s="62"/>
      <c r="K220" s="62"/>
      <c r="L220" s="62"/>
      <c r="M220" s="62"/>
      <c r="N220" s="62"/>
      <c r="O220" s="17"/>
      <c r="P220" s="18"/>
      <c r="Q220" s="17"/>
      <c r="R220" s="17"/>
      <c r="S220" s="17"/>
    </row>
    <row r="221" spans="1:19" x14ac:dyDescent="0.25">
      <c r="A221" s="64" t="s">
        <v>657</v>
      </c>
      <c r="B221" s="65"/>
      <c r="C221" s="65"/>
      <c r="D221" s="65"/>
      <c r="E221" s="65"/>
      <c r="F221" s="65"/>
      <c r="G221" s="65"/>
      <c r="H221" s="65"/>
      <c r="I221" s="62">
        <v>198442</v>
      </c>
      <c r="J221" s="62"/>
      <c r="K221" s="62"/>
      <c r="L221" s="62"/>
      <c r="M221" s="62"/>
      <c r="N221" s="62"/>
      <c r="O221" s="17"/>
      <c r="P221" s="18"/>
      <c r="Q221" s="17"/>
      <c r="R221" s="17"/>
      <c r="S221" s="17"/>
    </row>
    <row r="222" spans="1:19" x14ac:dyDescent="0.25">
      <c r="A222" s="64" t="s">
        <v>658</v>
      </c>
      <c r="B222" s="65"/>
      <c r="C222" s="65"/>
      <c r="D222" s="65"/>
      <c r="E222" s="65"/>
      <c r="F222" s="65"/>
      <c r="G222" s="65"/>
      <c r="H222" s="65"/>
      <c r="I222" s="62">
        <v>940920</v>
      </c>
      <c r="J222" s="62"/>
      <c r="K222" s="62"/>
      <c r="L222" s="62"/>
      <c r="M222" s="62"/>
      <c r="N222" s="62"/>
      <c r="O222" s="17"/>
      <c r="P222" s="18"/>
      <c r="Q222" s="17"/>
      <c r="R222" s="17"/>
      <c r="S222" s="17"/>
    </row>
    <row r="223" spans="1:19" x14ac:dyDescent="0.25">
      <c r="A223" s="64" t="s">
        <v>659</v>
      </c>
      <c r="B223" s="65"/>
      <c r="C223" s="65"/>
      <c r="D223" s="65"/>
      <c r="E223" s="65"/>
      <c r="F223" s="65"/>
      <c r="G223" s="65"/>
      <c r="H223" s="65"/>
      <c r="I223" s="62">
        <v>804622</v>
      </c>
      <c r="J223" s="62"/>
      <c r="K223" s="62"/>
      <c r="L223" s="62"/>
      <c r="M223" s="62"/>
      <c r="N223" s="62"/>
      <c r="O223" s="17"/>
      <c r="P223" s="18"/>
      <c r="Q223" s="17"/>
      <c r="R223" s="17"/>
      <c r="S223" s="17"/>
    </row>
    <row r="224" spans="1:19" x14ac:dyDescent="0.25">
      <c r="A224" s="64" t="s">
        <v>660</v>
      </c>
      <c r="B224" s="65"/>
      <c r="C224" s="65"/>
      <c r="D224" s="65"/>
      <c r="E224" s="65"/>
      <c r="F224" s="65"/>
      <c r="G224" s="65"/>
      <c r="H224" s="65"/>
      <c r="I224" s="62">
        <v>431254</v>
      </c>
      <c r="J224" s="62"/>
      <c r="K224" s="62"/>
      <c r="L224" s="62"/>
      <c r="M224" s="62"/>
      <c r="N224" s="62"/>
      <c r="O224" s="17"/>
      <c r="P224" s="18"/>
      <c r="Q224" s="17"/>
      <c r="R224" s="17"/>
      <c r="S224" s="17"/>
    </row>
    <row r="225" spans="1:19" ht="26.4" x14ac:dyDescent="0.25">
      <c r="A225" s="66" t="s">
        <v>661</v>
      </c>
      <c r="B225" s="67"/>
      <c r="C225" s="67"/>
      <c r="D225" s="67"/>
      <c r="E225" s="67"/>
      <c r="F225" s="67"/>
      <c r="G225" s="67"/>
      <c r="H225" s="67"/>
      <c r="I225" s="63">
        <v>5231285</v>
      </c>
      <c r="J225" s="63"/>
      <c r="K225" s="63"/>
      <c r="L225" s="63"/>
      <c r="M225" s="63"/>
      <c r="N225" s="63" t="s">
        <v>645</v>
      </c>
      <c r="O225" s="17"/>
      <c r="P225" s="18"/>
      <c r="Q225" s="17"/>
      <c r="R225" s="17"/>
      <c r="S225" s="17"/>
    </row>
    <row r="226" spans="1:19" x14ac:dyDescent="0.25">
      <c r="A226" s="16"/>
      <c r="B226" s="36"/>
      <c r="C226" s="36"/>
      <c r="D226" s="16"/>
      <c r="E226" s="33"/>
      <c r="F226" s="33"/>
      <c r="G226" s="33"/>
      <c r="H226" s="33"/>
      <c r="I226" s="37"/>
      <c r="J226" s="33"/>
      <c r="K226" s="33"/>
      <c r="L226" s="33"/>
      <c r="M226" s="33"/>
      <c r="O226" s="39"/>
      <c r="P226" s="39"/>
      <c r="Q226" s="39"/>
      <c r="R226" s="39"/>
      <c r="S226" s="39"/>
    </row>
    <row r="227" spans="1:19" x14ac:dyDescent="0.25">
      <c r="A227" s="16"/>
      <c r="B227" s="36"/>
      <c r="C227" s="36"/>
      <c r="D227" s="16"/>
      <c r="E227" s="33"/>
      <c r="F227" s="33"/>
      <c r="G227" s="33"/>
      <c r="H227" s="33"/>
      <c r="I227" s="37"/>
      <c r="J227" s="33"/>
      <c r="K227" s="33"/>
      <c r="L227" s="33"/>
      <c r="M227" s="33"/>
    </row>
    <row r="228" spans="1:19" x14ac:dyDescent="0.25">
      <c r="A228" s="16"/>
      <c r="B228" s="36"/>
      <c r="C228" s="38" t="s">
        <v>668</v>
      </c>
      <c r="D228" s="16"/>
      <c r="E228" s="33"/>
      <c r="F228" s="38" t="s">
        <v>25</v>
      </c>
      <c r="G228" s="38"/>
      <c r="H228" s="38"/>
      <c r="I228" s="33"/>
      <c r="J228" s="33"/>
      <c r="K228" s="33"/>
      <c r="L228" s="33"/>
      <c r="M228" s="33"/>
    </row>
  </sheetData>
  <sheetProtection algorithmName="SHA-512" hashValue="TII3mJP9KRMbgZ959r+afgn5VN9W7M4BmX/bWiox83nRTFM4GeoHpLkrwo4Bn/7ealDJQE+7fB4LGm3atxbI3A==" saltValue="Yd1NkrEdmhsv75tn6yx/3g==" spinCount="100000" sheet="1" objects="1" scenarios="1" selectLockedCells="1" selectUnlockedCells="1"/>
  <mergeCells count="88"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1:H71"/>
    <mergeCell ref="A20:AI20"/>
    <mergeCell ref="A33:H33"/>
    <mergeCell ref="A34:H34"/>
    <mergeCell ref="A35:H35"/>
    <mergeCell ref="A36:H36"/>
    <mergeCell ref="A37:H37"/>
    <mergeCell ref="A38:AI38"/>
    <mergeCell ref="A67:H67"/>
    <mergeCell ref="A68:H68"/>
    <mergeCell ref="A69:H69"/>
    <mergeCell ref="A70:H70"/>
    <mergeCell ref="A134:H134"/>
    <mergeCell ref="A72:H72"/>
    <mergeCell ref="A73:H73"/>
    <mergeCell ref="A74:H74"/>
    <mergeCell ref="A75:AI75"/>
    <mergeCell ref="A127:H127"/>
    <mergeCell ref="A128:H128"/>
    <mergeCell ref="A129:H129"/>
    <mergeCell ref="A130:H130"/>
    <mergeCell ref="A131:H131"/>
    <mergeCell ref="A132:H132"/>
    <mergeCell ref="A133:H133"/>
    <mergeCell ref="A172:H172"/>
    <mergeCell ref="A135:AI135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AI157"/>
    <mergeCell ref="A171:H171"/>
    <mergeCell ref="A201:H201"/>
    <mergeCell ref="A173:H173"/>
    <mergeCell ref="A174:H174"/>
    <mergeCell ref="A175:H175"/>
    <mergeCell ref="A176:H176"/>
    <mergeCell ref="A177:H177"/>
    <mergeCell ref="A178:H178"/>
    <mergeCell ref="A179:AI179"/>
    <mergeCell ref="A197:H197"/>
    <mergeCell ref="A198:H198"/>
    <mergeCell ref="A199:H199"/>
    <mergeCell ref="A200:H200"/>
    <mergeCell ref="A216:H216"/>
    <mergeCell ref="A202:AI202"/>
    <mergeCell ref="A206:H206"/>
    <mergeCell ref="A207:H207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23:H223"/>
    <mergeCell ref="A224:H224"/>
    <mergeCell ref="A225:H225"/>
    <mergeCell ref="A217:H217"/>
    <mergeCell ref="A218:H218"/>
    <mergeCell ref="A219:H219"/>
    <mergeCell ref="A220:H220"/>
    <mergeCell ref="A221:H221"/>
    <mergeCell ref="A222:H222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2016-02-10T02:39:55Z</cp:lastPrinted>
  <dcterms:created xsi:type="dcterms:W3CDTF">2003-01-28T12:33:10Z</dcterms:created>
  <dcterms:modified xsi:type="dcterms:W3CDTF">2016-03-29T10:23:04Z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