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23.06.16\Смета Сибирская 105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'Лок.См.Расч.Баз.-Инд.Методом'!$A:$N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346" i="5" l="1"/>
  <c r="AI346" i="5"/>
  <c r="L323" i="5"/>
  <c r="AI323" i="5"/>
  <c r="L324" i="5"/>
  <c r="AI324" i="5"/>
  <c r="L325" i="5"/>
  <c r="AI325" i="5"/>
  <c r="L326" i="5"/>
  <c r="AI326" i="5"/>
  <c r="L327" i="5"/>
  <c r="AI327" i="5"/>
  <c r="L328" i="5"/>
  <c r="AI328" i="5"/>
  <c r="L329" i="5"/>
  <c r="AI329" i="5"/>
  <c r="L303" i="5"/>
  <c r="AI303" i="5"/>
  <c r="L304" i="5"/>
  <c r="AI304" i="5"/>
  <c r="L305" i="5"/>
  <c r="AI305" i="5"/>
  <c r="L306" i="5"/>
  <c r="AI306" i="5"/>
  <c r="L307" i="5"/>
  <c r="AI307" i="5"/>
  <c r="L308" i="5"/>
  <c r="AI308" i="5"/>
  <c r="L277" i="5"/>
  <c r="AI277" i="5"/>
  <c r="L278" i="5"/>
  <c r="AI278" i="5"/>
  <c r="L279" i="5"/>
  <c r="AI279" i="5"/>
  <c r="L280" i="5"/>
  <c r="AI280" i="5"/>
  <c r="L281" i="5"/>
  <c r="AI281" i="5"/>
  <c r="L282" i="5"/>
  <c r="AI282" i="5"/>
  <c r="L283" i="5"/>
  <c r="AI283" i="5"/>
  <c r="L284" i="5"/>
  <c r="AI284" i="5"/>
  <c r="L285" i="5"/>
  <c r="AI285" i="5"/>
  <c r="L286" i="5"/>
  <c r="AI286" i="5"/>
  <c r="L253" i="5"/>
  <c r="AI253" i="5"/>
  <c r="L254" i="5"/>
  <c r="AI254" i="5"/>
  <c r="L255" i="5"/>
  <c r="AI255" i="5"/>
  <c r="L256" i="5"/>
  <c r="AI256" i="5"/>
  <c r="L257" i="5"/>
  <c r="AI257" i="5"/>
  <c r="L258" i="5"/>
  <c r="AI258" i="5"/>
  <c r="L259" i="5"/>
  <c r="AI259" i="5"/>
  <c r="L221" i="5"/>
  <c r="AI221" i="5"/>
  <c r="L222" i="5"/>
  <c r="AI222" i="5"/>
  <c r="L223" i="5"/>
  <c r="AI223" i="5"/>
  <c r="L224" i="5"/>
  <c r="AI224" i="5"/>
  <c r="L225" i="5"/>
  <c r="AI225" i="5"/>
  <c r="L226" i="5"/>
  <c r="AI226" i="5"/>
  <c r="L227" i="5"/>
  <c r="AI227" i="5"/>
  <c r="L228" i="5"/>
  <c r="AI228" i="5"/>
  <c r="L229" i="5"/>
  <c r="AI229" i="5"/>
  <c r="L230" i="5"/>
  <c r="AI230" i="5"/>
  <c r="L231" i="5"/>
  <c r="AI231" i="5"/>
  <c r="L232" i="5"/>
  <c r="AI232" i="5"/>
  <c r="L202" i="5"/>
  <c r="AI202" i="5"/>
  <c r="L203" i="5"/>
  <c r="AI203" i="5"/>
  <c r="L204" i="5"/>
  <c r="AI204" i="5"/>
  <c r="L205" i="5"/>
  <c r="AI205" i="5"/>
  <c r="L182" i="5"/>
  <c r="AI182" i="5"/>
  <c r="L183" i="5"/>
  <c r="AI183" i="5"/>
  <c r="L184" i="5"/>
  <c r="AI184" i="5"/>
  <c r="L185" i="5"/>
  <c r="AI185" i="5"/>
  <c r="L163" i="5"/>
  <c r="AI163" i="5"/>
  <c r="L164" i="5"/>
  <c r="AI164" i="5"/>
  <c r="L165" i="5"/>
  <c r="AI165" i="5"/>
  <c r="L166" i="5"/>
  <c r="AI166" i="5"/>
  <c r="L121" i="5"/>
  <c r="AI121" i="5"/>
  <c r="L122" i="5"/>
  <c r="AI122" i="5"/>
  <c r="L123" i="5"/>
  <c r="AI123" i="5"/>
  <c r="L124" i="5"/>
  <c r="AI124" i="5"/>
  <c r="L125" i="5"/>
  <c r="AI125" i="5"/>
  <c r="L126" i="5"/>
  <c r="AI126" i="5"/>
  <c r="L127" i="5"/>
  <c r="AI127" i="5"/>
  <c r="L128" i="5"/>
  <c r="AI128" i="5"/>
  <c r="L129" i="5"/>
  <c r="AI129" i="5"/>
  <c r="L130" i="5"/>
  <c r="AI130" i="5"/>
  <c r="L131" i="5"/>
  <c r="AI131" i="5"/>
  <c r="L132" i="5"/>
  <c r="AI132" i="5"/>
  <c r="L133" i="5"/>
  <c r="AI133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67" i="5"/>
  <c r="AI67" i="5"/>
  <c r="L68" i="5"/>
  <c r="AI68" i="5"/>
  <c r="L69" i="5"/>
  <c r="AI69" i="5"/>
  <c r="L70" i="5"/>
  <c r="AI70" i="5"/>
  <c r="L71" i="5"/>
  <c r="AI71" i="5"/>
  <c r="L72" i="5"/>
  <c r="AI72" i="5"/>
  <c r="L73" i="5"/>
  <c r="AI73" i="5"/>
  <c r="L74" i="5"/>
  <c r="AI74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L33" i="5"/>
  <c r="AI33" i="5"/>
  <c r="L34" i="5"/>
  <c r="AI34" i="5"/>
  <c r="C259" i="5"/>
  <c r="C138" i="5"/>
  <c r="C67" i="5"/>
  <c r="C30" i="5"/>
  <c r="C281" i="5"/>
  <c r="C128" i="5"/>
  <c r="C31" i="5"/>
  <c r="C60" i="5"/>
  <c r="C307" i="5"/>
  <c r="C205" i="5"/>
  <c r="C141" i="5"/>
  <c r="C83" i="5"/>
  <c r="C323" i="5"/>
  <c r="C229" i="5"/>
  <c r="C93" i="5"/>
  <c r="C143" i="5"/>
  <c r="C21" i="5"/>
  <c r="C222" i="5"/>
  <c r="C131" i="5"/>
  <c r="C56" i="5"/>
  <c r="C25" i="5"/>
  <c r="C255" i="5"/>
  <c r="C137" i="5"/>
  <c r="C306" i="5"/>
  <c r="C62" i="5"/>
  <c r="C279" i="5"/>
  <c r="C182" i="5"/>
  <c r="C69" i="5"/>
  <c r="C99" i="5"/>
  <c r="C303" i="5"/>
  <c r="C184" i="5"/>
  <c r="C87" i="5"/>
  <c r="C129" i="5"/>
  <c r="C325" i="5"/>
  <c r="C227" i="5"/>
  <c r="C124" i="5"/>
  <c r="C72" i="5"/>
  <c r="C24" i="5"/>
  <c r="C253" i="5"/>
  <c r="C73" i="5"/>
  <c r="C204" i="5"/>
  <c r="C95" i="5"/>
  <c r="C277" i="5"/>
  <c r="C163" i="5"/>
  <c r="C86" i="5"/>
  <c r="C92" i="5"/>
  <c r="C286" i="5"/>
  <c r="C126" i="5"/>
  <c r="C77" i="5"/>
  <c r="C82" i="5"/>
  <c r="C327" i="5"/>
  <c r="C232" i="5"/>
  <c r="C140" i="5"/>
  <c r="C58" i="5"/>
  <c r="C346" i="5"/>
  <c r="C223" i="5"/>
  <c r="C63" i="5"/>
  <c r="C166" i="5"/>
  <c r="C97" i="5"/>
  <c r="C258" i="5"/>
  <c r="C130" i="5"/>
  <c r="C59" i="5"/>
  <c r="C22" i="5"/>
  <c r="C231" i="5"/>
  <c r="C134" i="5"/>
  <c r="C284" i="5"/>
  <c r="C32" i="5"/>
  <c r="C305" i="5"/>
  <c r="C203" i="5"/>
  <c r="C133" i="5"/>
  <c r="C74" i="5"/>
  <c r="C329" i="5"/>
  <c r="C221" i="5"/>
  <c r="C68" i="5"/>
  <c r="C127" i="5"/>
  <c r="C23" i="5"/>
  <c r="C256" i="5"/>
  <c r="C123" i="5"/>
  <c r="C88" i="5"/>
  <c r="C28" i="5"/>
  <c r="C254" i="5"/>
  <c r="C121" i="5"/>
  <c r="C33" i="5"/>
  <c r="C81" i="5"/>
  <c r="C282" i="5"/>
  <c r="C183" i="5"/>
  <c r="C61" i="5"/>
  <c r="C91" i="5"/>
  <c r="C304" i="5"/>
  <c r="C202" i="5"/>
  <c r="C70" i="5"/>
  <c r="C136" i="5"/>
  <c r="C324" i="5"/>
  <c r="C230" i="5"/>
  <c r="C139" i="5"/>
  <c r="C64" i="5"/>
  <c r="C27" i="5"/>
  <c r="C257" i="5"/>
  <c r="C65" i="5"/>
  <c r="C228" i="5"/>
  <c r="C79" i="5"/>
  <c r="C280" i="5"/>
  <c r="C164" i="5"/>
  <c r="C78" i="5"/>
  <c r="C80" i="5"/>
  <c r="C278" i="5"/>
  <c r="C165" i="5"/>
  <c r="C71" i="5"/>
  <c r="C57" i="5"/>
  <c r="C326" i="5"/>
  <c r="C224" i="5"/>
  <c r="C132" i="5"/>
  <c r="C85" i="5"/>
  <c r="C29" i="5"/>
  <c r="C226" i="5"/>
  <c r="C90" i="5"/>
  <c r="C185" i="5"/>
  <c r="C84" i="5"/>
  <c r="C285" i="5"/>
  <c r="C122" i="5"/>
  <c r="C94" i="5"/>
  <c r="C89" i="5"/>
  <c r="C283" i="5"/>
  <c r="C142" i="5"/>
  <c r="C26" i="5"/>
  <c r="C98" i="5"/>
  <c r="C308" i="5"/>
  <c r="C225" i="5"/>
  <c r="C125" i="5"/>
  <c r="C328" i="5"/>
  <c r="C34" i="5"/>
  <c r="C76" i="5"/>
  <c r="C66" i="5"/>
  <c r="C96" i="5"/>
  <c r="C135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A7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&lt;Наименование локальной сметы&gt;, &lt;Наименование объекта&gt;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102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4" authorId="1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 &lt;подпись 405 текст&gt; &lt;подпись 405 значение&gt;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&lt;Примечание&gt;
----------------------------
&lt;Комментарии из базы данных к расценке&gt;&lt;Пустой идентификатор&gt;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-------------------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----------------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----------------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к-тов&gt;&lt;Оборудование на единицу в базисных ценах с учетом всех к-тов&gt;
&lt;Пустой идентификатор&gt;
-------------------
&lt;Формула базисной цены единицы ПЗ&gt;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-----------------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МАТ&gt;),0)))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-------------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------------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3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3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3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3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-----------------
&lt;З/п машинистов (итоги)&gt;</t>
        </r>
      </text>
    </comment>
    <comment ref="L36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36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---------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7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37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<sst xmlns="http://schemas.openxmlformats.org/spreadsheetml/2006/main" count="1398" uniqueCount="763">
  <si>
    <t xml:space="preserve">ФССЦ-101-0782 </t>
  </si>
  <si>
    <t xml:space="preserve">5989
 </t>
  </si>
  <si>
    <t>Поковки из квадратных заготовок, масса: 1,8 кг; МАТ=7,299</t>
  </si>
  <si>
    <t>Поковки из квадратных заготовок, масса 1,8 кг</t>
  </si>
  <si>
    <t>Итоги по разделу 10 Водосточная система :</t>
  </si>
  <si>
    <t xml:space="preserve">  Итого по разделу 10 Водосточная система</t>
  </si>
  <si>
    <t>Раздел 11. Молниезащита</t>
  </si>
  <si>
    <t xml:space="preserve">ФЕРм08-02-472-08
----------------------------
Приказ Минстроя РФ от 30.01.14 №31/пр </t>
  </si>
  <si>
    <t>541,57
----------------
188,94</t>
  </si>
  <si>
    <t>51,62
----------------
1,49</t>
  </si>
  <si>
    <t xml:space="preserve">301,01
 </t>
  </si>
  <si>
    <t>55.352 Проводник заземляющий открыто по строительным основаниям: ОЗП=15,9; ЭМ=8,61; ЗПМ=15,9; МАТ=3,45</t>
  </si>
  <si>
    <t>1154
-----------------
64</t>
  </si>
  <si>
    <t>20,1
-------------
0,11</t>
  </si>
  <si>
    <t>52,26
------------
0,29</t>
  </si>
  <si>
    <t>НР 81%=95%*0.85 от ФОТ</t>
  </si>
  <si>
    <t>Проводник заземляющий открыто по строительным основаниям: из круглой стали диаметром 8 мм</t>
  </si>
  <si>
    <t xml:space="preserve">ФССЦ-204-0002
----------------------------
Приказ Минстроя РФ от 30.01.14 №31/пр </t>
  </si>
  <si>
    <t xml:space="preserve">6780
 </t>
  </si>
  <si>
    <t>Горячекатаная арматурная сталь гладкая класса А-I диаметром 8 мм; МАТ=3,025</t>
  </si>
  <si>
    <t>Горячекатаная арматурная сталь гладкая класса А-I, диаметром 8 мм</t>
  </si>
  <si>
    <t xml:space="preserve">ФЕРм08-02-472-02
----------------------------
Приказ Минстроя РФ от 30.01.14 №31/пр </t>
  </si>
  <si>
    <t>271,78
----------------
156,04</t>
  </si>
  <si>
    <t>74,15
----------------
2,97</t>
  </si>
  <si>
    <t xml:space="preserve">41,59
 </t>
  </si>
  <si>
    <t>55.350 Заземлитель горизонтальный из стали: ОЗП=15,9; ЭМ=8,65; ЗПМ=15,9; МАТ=6,31</t>
  </si>
  <si>
    <t>164
-----------------
16</t>
  </si>
  <si>
    <t>16,6
-------------
0,22</t>
  </si>
  <si>
    <t>4,15
------------
0,06</t>
  </si>
  <si>
    <t>Заземлитель горизонтальный из стали: полосовой сечением 160 мм2</t>
  </si>
  <si>
    <t xml:space="preserve">ФССЦ-101-2548
----------------------------
Приказ Минстроя РФ от 30.01.14 №31/пр </t>
  </si>
  <si>
    <t xml:space="preserve">6100
 </t>
  </si>
  <si>
    <t>Сталь полосовая 40х4 мм; МАТ=4,482</t>
  </si>
  <si>
    <t>Сталь полосовая 40х4 мм  25*1,26=31,5</t>
  </si>
  <si>
    <t xml:space="preserve">ФЕРм08-02-471-01
----------------------------
Приказ Минстроя РФ от 30.01.14 №31/пр </t>
  </si>
  <si>
    <t>181,43
----------------
100,58</t>
  </si>
  <si>
    <t>56,32
----------------
2,57</t>
  </si>
  <si>
    <t xml:space="preserve">24,53
 </t>
  </si>
  <si>
    <t>55.349 Заземлители: ОЗП=15,9; ЭМ=8,99; ЗПМ=15,9; МАТ=6,35</t>
  </si>
  <si>
    <t>405
-----------------
32</t>
  </si>
  <si>
    <t>10,7
-------------
0,19</t>
  </si>
  <si>
    <t>8,56
------------
0,15</t>
  </si>
  <si>
    <t>Заземлитель вертикальный из угловой стали размером: 50х50х5 мм</t>
  </si>
  <si>
    <t>201
-----------------
7</t>
  </si>
  <si>
    <t>64,97
---------
0,5</t>
  </si>
  <si>
    <t>1756
-----------------
112</t>
  </si>
  <si>
    <t>Итоги по разделу 11 Молниезащита :</t>
  </si>
  <si>
    <t xml:space="preserve">  Итого Строительные работы</t>
  </si>
  <si>
    <t xml:space="preserve">  Итого Монтажные работы</t>
  </si>
  <si>
    <t xml:space="preserve">  Итого по разделу 11 Молниезащита</t>
  </si>
  <si>
    <t>Раздел 12. Радио и телевизионные стойки</t>
  </si>
  <si>
    <t xml:space="preserve">ФЕР34-02-061-01 </t>
  </si>
  <si>
    <t>399,36
----------------
62,82</t>
  </si>
  <si>
    <t xml:space="preserve">336,54
 </t>
  </si>
  <si>
    <t>Установка стоек для радиотрансляционных сетей одинарных на напряжение: до 240 В</t>
  </si>
  <si>
    <t>Итоги по разделу 12 Радио и телевизионные стойки :</t>
  </si>
  <si>
    <t xml:space="preserve">  Итого по разделу 12 Радио и телевизионные стойки</t>
  </si>
  <si>
    <t>Итого прямые затраты по смете в ценах 2001г.</t>
  </si>
  <si>
    <t>10521
-----------------
559</t>
  </si>
  <si>
    <t>2303,03
---------
34,1</t>
  </si>
  <si>
    <t>Итого прямые затраты по смете с учетом индексов, в текущих ценах</t>
  </si>
  <si>
    <t>114015
-----------------
8890</t>
  </si>
  <si>
    <t>Итоги по смете:</t>
  </si>
  <si>
    <t>2238,06
---------
33,6</t>
  </si>
  <si>
    <t xml:space="preserve">  ВСЕГО по смете</t>
  </si>
  <si>
    <t>Капитальный ремонт  многоквартирного дома по адресу: г.Томск, ул.Сибирская,105</t>
  </si>
  <si>
    <t>ЛОКАЛЬНЫЙ СМЕТНЫЙ РАСЧЕТ №  02-01-01</t>
  </si>
  <si>
    <t>на   капитальный ремонт крыши</t>
  </si>
  <si>
    <t>Основание:   Рабочая документация 07904.01-16-АС</t>
  </si>
  <si>
    <t>Прайс лист МеталлПрофиль</t>
  </si>
  <si>
    <t>Прайс-лист ГлавЭлектроСнаб</t>
  </si>
  <si>
    <t>Прайс-лист ООО "Сибирский центр снабжения"</t>
  </si>
  <si>
    <t>Прайс лист СПК Профиль</t>
  </si>
  <si>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</si>
  <si>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</si>
  <si>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</si>
  <si>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</si>
  <si>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</si>
  <si>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</si>
  <si>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</si>
  <si>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</si>
  <si>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</si>
  <si>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</si>
  <si>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</si>
  <si>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</si>
  <si>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</si>
  <si>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</si>
  <si>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</si>
  <si>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</si>
  <si>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</si>
  <si>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</si>
  <si>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</si>
  <si>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</si>
  <si>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</si>
  <si>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</si>
  <si>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</si>
  <si>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</si>
  <si>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</si>
  <si>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 xml:space="preserve"> </t>
  </si>
  <si>
    <t>Составил:____________________________</t>
  </si>
  <si>
    <t>Проверил:____________________________</t>
  </si>
  <si>
    <t>Раздел 1. Демонтажные работы</t>
  </si>
  <si>
    <t xml:space="preserve">ФЕР46-04-008-04 </t>
  </si>
  <si>
    <t>193,33
----------------
155,03</t>
  </si>
  <si>
    <t xml:space="preserve">
 </t>
  </si>
  <si>
    <t>46.73 Разборка покрытий кровель: ОЗП=15,9; ЭМ=3,01; ЗПМ=15,9</t>
  </si>
  <si>
    <t>НР 84%=110%*(0.9*0.85) от ФОТ</t>
  </si>
  <si>
    <t>СП 48%=70%*(0.85*0.8) от ФОТ</t>
  </si>
  <si>
    <t>(МДС 81-38.2004 пр.3  п.11.2. Ремонт сложных кровель ОЗП=1,25; ЭМ=1,25 к расх.; ЗПМ=1,25; ТЗ=1,25; ТЗМ=1,25)</t>
  </si>
  <si>
    <t>Разборка покрытий кровель: из волнистых и полуволнистых асбестоцементных листов</t>
  </si>
  <si>
    <t>100 м2 покрытия</t>
  </si>
  <si>
    <t xml:space="preserve">ФЕРр58-1-2 </t>
  </si>
  <si>
    <t>260,68
----------------
229,35</t>
  </si>
  <si>
    <t>31,33
----------------
4,9</t>
  </si>
  <si>
    <t>84.1 Разборка деревянных элементов конструкций крыш: ОЗП=15,9; ЭМ=12,03; ЗПМ=15,9</t>
  </si>
  <si>
    <t>1805
-----------------
382</t>
  </si>
  <si>
    <t>НР 71%=83%*0.85 от ФОТ</t>
  </si>
  <si>
    <t>СП 52%=65%*0.8 от ФОТ</t>
  </si>
  <si>
    <t>(МДС 81-35.2004 пр.1 т.3 п.11.2. Ремонт сложных кровель ОЗП=1,25; ЭМ=1,25 к расх.; ЗПМ=1,25; ТЗ=1,25; ТЗМ=1,25)</t>
  </si>
  <si>
    <t>Разборка деревянных элементов конструкций крыш: стропил со стойками и подкосами из досок</t>
  </si>
  <si>
    <t>100 м2 кровли</t>
  </si>
  <si>
    <t xml:space="preserve">ФЕРр58-1-4 </t>
  </si>
  <si>
    <t>95,96
----------------
66,8</t>
  </si>
  <si>
    <t>29,16
----------------
4,56</t>
  </si>
  <si>
    <t>1684
-----------------
350</t>
  </si>
  <si>
    <t>Разборка деревянных элементов конструкций крыш: мауэрлатов</t>
  </si>
  <si>
    <t xml:space="preserve">ФЕРр58-1-1 </t>
  </si>
  <si>
    <t>200,14
----------------
150,46</t>
  </si>
  <si>
    <t>49,68
----------------
7,76</t>
  </si>
  <si>
    <t>3705
-----------------
763</t>
  </si>
  <si>
    <t>Разборка деревянных элементов конструкций крыш: обрешетки из брусков с прозорами</t>
  </si>
  <si>
    <t xml:space="preserve">ФЕР46-04-001-04
----------------------------
Приказ Минстроя РФ от 30.01.14 №31/пр </t>
  </si>
  <si>
    <t>180,03
----------------
73,01</t>
  </si>
  <si>
    <t>107,02
----------------
11,57</t>
  </si>
  <si>
    <t>46.62 Разборка: кирпичных и мелкоблочных стен: ОЗП=15,9; ЭМ=5,15; ЗПМ=15,9</t>
  </si>
  <si>
    <t>108
-----------------
32</t>
  </si>
  <si>
    <t>8,24
-------------
1,15</t>
  </si>
  <si>
    <t>1,65
------------
0,23</t>
  </si>
  <si>
    <t>Разборка: кирпичных стен</t>
  </si>
  <si>
    <t>1 м3</t>
  </si>
  <si>
    <t xml:space="preserve">ФЕРр60-2-1 </t>
  </si>
  <si>
    <t>1468,13
----------------
1343,72</t>
  </si>
  <si>
    <t>124,41
----------------
53,73</t>
  </si>
  <si>
    <t>86.2 Разборка дымовых кирпичных труб и боровов: ОЗП=15,9; ЭМ=7,03; ЗПМ=15,9</t>
  </si>
  <si>
    <t>120
-----------------
127</t>
  </si>
  <si>
    <t>НР 66%=78%*0.85 от ФОТ</t>
  </si>
  <si>
    <t>СП 50%=63%*0.8 от ФОТ</t>
  </si>
  <si>
    <t>Разборка дымовых кирпичных труб и боровов в один канал</t>
  </si>
  <si>
    <t>100 м</t>
  </si>
  <si>
    <t xml:space="preserve">ФЕРр69-9-1 </t>
  </si>
  <si>
    <t>1553,82
----------------
1553,82</t>
  </si>
  <si>
    <t>94.16 Очистка помещений от строительного мусора: ОЗП=15,9</t>
  </si>
  <si>
    <t>СП 40%=50%*0.8 от ФОТ</t>
  </si>
  <si>
    <t>Очистка помещений от строительного мусора  (от шлака ,410м2х0,16м=65,6м3х1,1=72,16т</t>
  </si>
  <si>
    <t>100 т мусора</t>
  </si>
  <si>
    <t xml:space="preserve">ФЕРр58-2-1 </t>
  </si>
  <si>
    <t>3400,36
----------------
3387,4</t>
  </si>
  <si>
    <t>84.2 Разборка слуховых окон: ОЗП=15,9; ЭМ=4,68; ЗПМ=15,9</t>
  </si>
  <si>
    <t>Разборка слуховых окон: прямоугольных двускатных</t>
  </si>
  <si>
    <t>100 окон</t>
  </si>
  <si>
    <t xml:space="preserve">ФЕР10-01-039-05 </t>
  </si>
  <si>
    <t>1948,66
----------------
965,66</t>
  </si>
  <si>
    <t>983
----------------
117,94</t>
  </si>
  <si>
    <t>10.95. Установка люков в перекрытиях: ОЗП=15,9; ЭМ=11,91; ЗПМ=15,9; МАТ=5,87</t>
  </si>
  <si>
    <t>238
-----------------
32</t>
  </si>
  <si>
    <t>НР 90%=118%*(0.9*0.85) от ФОТ</t>
  </si>
  <si>
    <t>СП 43%=63%*(0.85*0.8) от ФОТ</t>
  </si>
  <si>
    <t>(МДС 81-36.2004 п.3.3.1. Демонтаж (разборка) сборных бетонных и железобетонных конструкций ОЗП=0,8; ЭМ=0,8 к расх.; ЗПМ=0,8; МАТ=0 к расх.; ТЗ=0,8; ТЗМ=0,8)</t>
  </si>
  <si>
    <t>Демонтаж.Установка люков в перекрытиях, площадь проема до 2 м2</t>
  </si>
  <si>
    <t>100 м2 проемов</t>
  </si>
  <si>
    <t xml:space="preserve">ФЕР34-02-061-01 прим. </t>
  </si>
  <si>
    <t>18,85
----------------
18,85</t>
  </si>
  <si>
    <t>34.68 Установка стоек для радиотрансляционных сетей одинарных на напряжение: до 240 В: ОЗП=15,9; МАТ=8,04</t>
  </si>
  <si>
    <t>НР 77%=100%*(0.9*0.85) от ФОТ</t>
  </si>
  <si>
    <t>СП 44%=65%*(0.85*0.8) от ФОТ</t>
  </si>
  <si>
    <t>(МДС 81-37.2004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</t>
  </si>
  <si>
    <t>Демонтаж.Установка стоек для радиотрансляционных сетей одинарных на напряжение: до 240 В (ТВ антенна)</t>
  </si>
  <si>
    <t>1 стойка</t>
  </si>
  <si>
    <t xml:space="preserve">ФЕРр65-2-2
----------------------------
Приказ Минстроя РФ от 30.01.14 №31/пр </t>
  </si>
  <si>
    <t>731,64
----------------
721,64</t>
  </si>
  <si>
    <t>10
----------------
4,32</t>
  </si>
  <si>
    <t>90.2 Разборка трубопроводов из чугунных канализационных труб: ОЗП=15,9; ЭМ=7,03; ЗПМ=15,9</t>
  </si>
  <si>
    <t>85,3
-------------
0,32</t>
  </si>
  <si>
    <t>2,13
------------
0,01</t>
  </si>
  <si>
    <t>НР 63%=74%*0.85 от ФОТ</t>
  </si>
  <si>
    <t>Разборка трубопроводов из чугунных канализационных труб диаметром: 100 мм</t>
  </si>
  <si>
    <t>100 м трубопровода с фасонными частями</t>
  </si>
  <si>
    <t xml:space="preserve">ФССЦпг-01-01-01-041 </t>
  </si>
  <si>
    <t>Мусор строительный, вручную: погрузка: ОЗП=10,75; ЭМ=10,75</t>
  </si>
  <si>
    <t>НР 0%=0%*0.85 от ФОТ</t>
  </si>
  <si>
    <t>СП 0%=0%*0.8 от ФОТ</t>
  </si>
  <si>
    <t>Погрузочные работы при автомобильных перевозках: мусора строительного с погрузкой вручную</t>
  </si>
  <si>
    <t>1 т груза</t>
  </si>
  <si>
    <t xml:space="preserve">ФССЦпг-01-01-01-043 </t>
  </si>
  <si>
    <t>Мусор строительный, экскаваторами емк,ковша 0,5 м3: погрузка; ЭМ=11,52</t>
  </si>
  <si>
    <t>Погрузочные работы при автомобильных перевозках: мусора строительного с погрузкой экскаваторами емкостью ковша до 0,5 м3</t>
  </si>
  <si>
    <t xml:space="preserve">ФССЦпг-03-21-01-025 </t>
  </si>
  <si>
    <t>Перевозка грузов автомобилями-самосвалами грузоподъемностью 10 т, работающих вне карьера, на расстояние: до 25 км.: I класс груза; ЭМ=9,82</t>
  </si>
  <si>
    <t>Перевозка грузов автомобилями-самосвалами грузоподъемностью 10 т, работающих вне карьера, на расстояние: до 25 км</t>
  </si>
  <si>
    <t>Итого прямые затраты по разделу в ценах 2001г.</t>
  </si>
  <si>
    <t>2487
-----------------
106</t>
  </si>
  <si>
    <t>3,78
---------
0,24</t>
  </si>
  <si>
    <t>Итого прямые затраты по разделу с учетом индексов, в текущих ценах</t>
  </si>
  <si>
    <t>24481
-----------------
1686</t>
  </si>
  <si>
    <t>Накладные расходы</t>
  </si>
  <si>
    <t>Сметная прибыль</t>
  </si>
  <si>
    <t>Итоги по разделу 1 Демонтажные работы 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</si>
  <si>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</si>
  <si>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1,65
---------
0,23</t>
  </si>
  <si>
    <t xml:space="preserve">  Крыши, кровли (ремонтно-строительные)</t>
  </si>
  <si>
    <t xml:space="preserve">  Печные работы (ремонтно-строительные)</t>
  </si>
  <si>
    <t xml:space="preserve">  Прочие ремонтно-строительные работы</t>
  </si>
  <si>
    <t xml:space="preserve">  Деревянные конструкции</t>
  </si>
  <si>
    <t xml:space="preserve">  Прокладка и монтаж сетей связи</t>
  </si>
  <si>
    <t xml:space="preserve">  Внутренние санитарно-технические работы: демонтаж и разборка (ремонтно-строительные)</t>
  </si>
  <si>
    <t>2,13
---------
0,01</t>
  </si>
  <si>
    <t xml:space="preserve">  Погрузо-разгрузочные работы</t>
  </si>
  <si>
    <t xml:space="preserve">  Итого</t>
  </si>
  <si>
    <t xml:space="preserve">    В том числе: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</si>
  <si>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</si>
  <si>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</si>
  <si>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</si>
  <si>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</si>
  <si>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</si>
  <si>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>Раздел 2. Ремонт крыши</t>
  </si>
  <si>
    <t xml:space="preserve">ФЕР08-02-003-03 </t>
  </si>
  <si>
    <t>953,73
----------------
85,72</t>
  </si>
  <si>
    <t>45,36
----------------
7,09</t>
  </si>
  <si>
    <t xml:space="preserve">822,65
 </t>
  </si>
  <si>
    <t>8.17. Кладка из кирпича конструкций: ОЗП=15,9; ЭМ=11,99; ЗПМ=15,9; МАТ=4,63</t>
  </si>
  <si>
    <t>1583
-----------------
334</t>
  </si>
  <si>
    <t>НР 93%=122%*(0.9*0.85) от ФОТ</t>
  </si>
  <si>
    <t>СП 54%=80%*(0.85*0.8) от ФОТ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</si>
  <si>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</t>
  </si>
  <si>
    <t>Кладка из кирпича: столбов прямоугольных неармированных при высоте этажа до 4 м</t>
  </si>
  <si>
    <t>1 м3 кладки</t>
  </si>
  <si>
    <t xml:space="preserve">ФЕРр58-13-1
----------------------------
Приказ Минстроя РФ от 30.01.14 №31/пр </t>
  </si>
  <si>
    <t>924,81
----------------
36,25</t>
  </si>
  <si>
    <t xml:space="preserve">883,33
 </t>
  </si>
  <si>
    <t>84.34 Устройство покрытия из рулонных материалов: насухо без промазки кромок: ОЗП=15,9; ЭМ=11,58; ЗПМ=15,9; МАТ=5,21</t>
  </si>
  <si>
    <t>Устройство покрытия из рулонных материалов: насухо без промазки кромок</t>
  </si>
  <si>
    <t xml:space="preserve">ФССЦ-101-0852
----------------------------
Приказ Минстроя РФ от 30.01.14 №31/пр </t>
  </si>
  <si>
    <t xml:space="preserve">7,46
 </t>
  </si>
  <si>
    <t>Рубероид кровельный с крупнозернистой посыпкой марки: РКК-350б; МАТ=5,235</t>
  </si>
  <si>
    <t>Рубероид кровельный с крупнозернистой посыпкой марки РКК-350б</t>
  </si>
  <si>
    <t>м2</t>
  </si>
  <si>
    <t xml:space="preserve">ФССЦ-101-7198
----------------------------
Приказ Минстроя РФ от 30.01.14 №31/пр </t>
  </si>
  <si>
    <t xml:space="preserve">27,5
 </t>
  </si>
  <si>
    <t>ИЗОСПАН: В; МАТ=5,839</t>
  </si>
  <si>
    <t>ИЗОСПАН В</t>
  </si>
  <si>
    <t>10м2</t>
  </si>
  <si>
    <t xml:space="preserve">ФЕР12-01-013-03
----------------------------
Приказ Минстроя РФ от 30.01.14 №31/пр </t>
  </si>
  <si>
    <t>663,37
----------------
498,05</t>
  </si>
  <si>
    <t>165,31
----------------
9,29</t>
  </si>
  <si>
    <t>12.31. Утепление покрытий плитами: из минеральной ваты или перлита на битумной мастике: ОЗП=15,9; ЭМ=9,26; ЗПМ=15,9; МАТ=7</t>
  </si>
  <si>
    <t>6473
-----------------
620</t>
  </si>
  <si>
    <t>52,371
-------------
0,6875</t>
  </si>
  <si>
    <t>221,53
------------
2,91</t>
  </si>
  <si>
    <t>НР 92%=120%*(0.9*0.85) от ФОТ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</si>
  <si>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</si>
  <si>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</si>
  <si>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 xml:space="preserve">ФСЭМ-121011
----------------------------
Приказ Минстроя РФ от 30.01.14 №31/пр </t>
  </si>
  <si>
    <t>Котлы битумные передвижные 400 л; ЭМ=5,727</t>
  </si>
  <si>
    <t>Котлы битумные передвижные 400 л</t>
  </si>
  <si>
    <t>маш.-ч</t>
  </si>
  <si>
    <t xml:space="preserve">ФЕР12-01-013-04
----------------------------
Приказ Минстроя РФ от 30.01.14 №31/пр </t>
  </si>
  <si>
    <t>1631,42
----------------
1156,85</t>
  </si>
  <si>
    <t>474,56
----------------
27,86</t>
  </si>
  <si>
    <t>18585
-----------------
1876</t>
  </si>
  <si>
    <t>121,647
-------------
2,0625</t>
  </si>
  <si>
    <t>514,57
------------
8,72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</si>
  <si>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к=3  ПЗ=3 (ОЗП=3; ЭМ=3 к расх.; ЗПМ=3; МАТ=3 к расх.; ТЗ=3; ТЗМ=3))</t>
  </si>
  <si>
    <t>Утепление покрытий плитами: на каждый последующий слой добавлять к расценке 12-01-013-03  к=3</t>
  </si>
  <si>
    <t xml:space="preserve">ФСЭМ-121001
----------------------------
Приказ Минстроя РФ от 30.01.14 №31/пр </t>
  </si>
  <si>
    <t>164,18
----------------
11,6</t>
  </si>
  <si>
    <t>Котлы битумные стационарные 15000 л; ЭМ=9,08; ЗПМ=15,9</t>
  </si>
  <si>
    <t>-13003
-----------------
-1606</t>
  </si>
  <si>
    <t>Котлы битумные стационарные 15000 л</t>
  </si>
  <si>
    <t>543,81
----------------
385,62</t>
  </si>
  <si>
    <t>40,549
-------------
0,6875</t>
  </si>
  <si>
    <t>38,81
------------
0,66</t>
  </si>
  <si>
    <t>Утепление покрытий плитами: на каждый последующий слой добавлять к расценке 12-01-013-03</t>
  </si>
  <si>
    <t xml:space="preserve">104-9100-910013 </t>
  </si>
  <si>
    <t xml:space="preserve">729,16
 </t>
  </si>
  <si>
    <t>; МАТ=5,63</t>
  </si>
  <si>
    <t>Плиты теплоизоляционные энергетические гидрофобизированные базальтовые:ПТЭ-125, размером 2000х1000х50мм   4105/5,63=729,16</t>
  </si>
  <si>
    <t>м3</t>
  </si>
  <si>
    <t xml:space="preserve">ФССЦ-101-7199
----------------------------
Приказ Минстроя РФ от 30.01.14 №31/пр </t>
  </si>
  <si>
    <t xml:space="preserve">42
 </t>
  </si>
  <si>
    <t>ИЗОСПАН: С; МАТ=4,529</t>
  </si>
  <si>
    <t>ИЗОСПАН С</t>
  </si>
  <si>
    <t xml:space="preserve">ФЕР10-01-023-01 </t>
  </si>
  <si>
    <t>1059,33
----------------
36,62</t>
  </si>
  <si>
    <t>15,56
----------------
1,35</t>
  </si>
  <si>
    <t xml:space="preserve">1007,15
 </t>
  </si>
  <si>
    <t>10.54. Укладка ходовых досок: ОЗП=15,9; ЭМ=11,36; ЗПМ=15,9; МАТ=5,55</t>
  </si>
  <si>
    <t>568
-----------------
64</t>
  </si>
  <si>
    <t>Укладка ходовых досок (ходовые мостики)</t>
  </si>
  <si>
    <t>100 м ходов</t>
  </si>
  <si>
    <t xml:space="preserve">ФЕР26-02-018-01 </t>
  </si>
  <si>
    <t>286,45
----------------
141,19</t>
  </si>
  <si>
    <t>143,43
----------------
2,03</t>
  </si>
  <si>
    <t xml:space="preserve">1,84
 </t>
  </si>
  <si>
    <t>26.106 Огнебиозащитное покрытие деревянных конструкций составами 'Пирилакс' (любой модификации): ОЗП=15,9; ЭМ=11,37; ЗПМ=15,9; МАТ=16,82</t>
  </si>
  <si>
    <t>7857
-----------------
159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</si>
  <si>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первой группы огнезащитной эффективности по НПБ251</t>
  </si>
  <si>
    <t>100 м2 обрабатываемой поверхности</t>
  </si>
  <si>
    <t xml:space="preserve">ФССЦ113-0515-00005 </t>
  </si>
  <si>
    <t xml:space="preserve">37,14
 </t>
  </si>
  <si>
    <t>Биопирен "Пирилакс-люкс"  209,09/5,63=37,14</t>
  </si>
  <si>
    <t>кг</t>
  </si>
  <si>
    <t xml:space="preserve">ФЕР07-06-002-05 </t>
  </si>
  <si>
    <t>1185,95
----------------
993,34</t>
  </si>
  <si>
    <t>124,59
----------------
15,03</t>
  </si>
  <si>
    <t xml:space="preserve">68,03
 </t>
  </si>
  <si>
    <t>7.98. Устройство плит перекрытий каналов: ОЗП=15,9; ЭМ=11,31; ЗПМ=15,9; МАТ=5,37</t>
  </si>
  <si>
    <t>НР 99%=130%*(0.9*0.85) от ФОТ</t>
  </si>
  <si>
    <t>СП 58%=85%*(0.85*0.8) от ФОТ</t>
  </si>
  <si>
    <t>Устройство плит перекрытий каналов площадью: до 0,5 м2</t>
  </si>
  <si>
    <t>100 шт. сборных конструкций</t>
  </si>
  <si>
    <t xml:space="preserve">ФССЦ-403-8413
прим.
----------------------------
Приказ Минстроя РФ от 30.01.14 №31/пр </t>
  </si>
  <si>
    <t xml:space="preserve">379,25
 </t>
  </si>
  <si>
    <t>Плита перекрытия П5-8а /бетон В15 (М200), объем 0,16м3, расход арматуры 14,8кг/ (серия 3.006.1-2.87 вып.2); МАТ=5,489</t>
  </si>
  <si>
    <t>Плита перекрытия П5-8а /бетон В15 (М200), объем 0,16 м3, расход ар-ры 14,8 кг/ (серия 3.006.1-2.87 вып.2)</t>
  </si>
  <si>
    <t>шт.</t>
  </si>
  <si>
    <t>Люк противопожарный</t>
  </si>
  <si>
    <t xml:space="preserve">ФЕР10-01-010-01 </t>
  </si>
  <si>
    <t>2447,72
----------------
216,83</t>
  </si>
  <si>
    <t xml:space="preserve">2189
 </t>
  </si>
  <si>
    <t>10.18. Установка деревянных элементов каркаса: ОЗП=15,9; ЭМ=11,23; ЗПМ=15,9; МАТ=4,2</t>
  </si>
  <si>
    <t>Установка элементов каркаса: из брусьев</t>
  </si>
  <si>
    <t>1 м3 древесины в конструкции</t>
  </si>
  <si>
    <t xml:space="preserve">ФЕР10-01-012-03
----------------------------
Приказ Минстроя РФ от 30.01.14 №31/пр </t>
  </si>
  <si>
    <t>3179,11
----------------
756,84</t>
  </si>
  <si>
    <t xml:space="preserve">2367,98
 </t>
  </si>
  <si>
    <t>10.22. Обшивка каркасных стен: плитами древесностружечными 16 мм: ОЗП=15,9; ЭМ=11,52; ЗПМ=15,9; МАТ=5,91</t>
  </si>
  <si>
    <t>Обшивка каркасных стен: плитами древесностружечными 16 мм</t>
  </si>
  <si>
    <t>100 м2 обшивки стен (за вычетом проемов)</t>
  </si>
  <si>
    <t xml:space="preserve">ФССЦ-101-0698
----------------------------
Приказ Минстроя РФ от 30.01.14 №31/пр </t>
  </si>
  <si>
    <t xml:space="preserve">2275,5
 </t>
  </si>
  <si>
    <t>Плиты древесностружечные многослойные и трехслойные, марки П-1, толщиной:15-17 мм; МАТ=5,927</t>
  </si>
  <si>
    <t>Плиты древесностружечные многослойные и трехслойные, марки П-1, толщиной 15-17 мм</t>
  </si>
  <si>
    <t>100 м2</t>
  </si>
  <si>
    <t xml:space="preserve">ФССЦ-102-0268 </t>
  </si>
  <si>
    <t xml:space="preserve">12480
 </t>
  </si>
  <si>
    <t>Фанера бакелизированная марки ФБС, толщиной 14-18 мм; МАТ=1,463</t>
  </si>
  <si>
    <t>Фанера бакелизированная марки ФБС, толщиной 14-18 мм</t>
  </si>
  <si>
    <t>4809,61
----------------
498,05</t>
  </si>
  <si>
    <t xml:space="preserve">4146,24
 </t>
  </si>
  <si>
    <t>0,63
------------
0,01</t>
  </si>
  <si>
    <t xml:space="preserve">ФССЦ-101-0078
----------------------------
Приказ Минстроя РФ от 30.01.14 №31/пр </t>
  </si>
  <si>
    <t xml:space="preserve">1530
 </t>
  </si>
  <si>
    <t>Битумы нефтяные строительные кровельные марки: БНК-45/190, БНК-45/180; МАТ=13,273</t>
  </si>
  <si>
    <t>Битумы нефтяные строительные кровельные марки БНК-45/190, БНК-45/180</t>
  </si>
  <si>
    <t>т</t>
  </si>
  <si>
    <t xml:space="preserve">ФССЦ-101-0322
----------------------------
Приказ Минстроя РФ от 30.01.14 №31/пр </t>
  </si>
  <si>
    <t xml:space="preserve">2606,9
 </t>
  </si>
  <si>
    <t>Керосин для технических целей марок KT-1, KT-2; МАТ=22,429</t>
  </si>
  <si>
    <t>Керосин для технических целей марок КТ-1, КТ-2</t>
  </si>
  <si>
    <t xml:space="preserve">ФССЦ-101-0594
----------------------------
Приказ Минстроя РФ от 30.01.14 №31/пр </t>
  </si>
  <si>
    <t xml:space="preserve">3390
 </t>
  </si>
  <si>
    <t>Мастика битумная кровельная горячая; МАТ=10,164</t>
  </si>
  <si>
    <t>Мастика битумная кровельная горячая</t>
  </si>
  <si>
    <t xml:space="preserve">ФССЦ-104-0004
----------------------------
Приказ Минстроя РФ от 30.01.14 №31/пр </t>
  </si>
  <si>
    <t xml:space="preserve">530
 </t>
  </si>
  <si>
    <t>Плиты из минеральной ваты:на синтетическом связующем М-125 (ГОСТ 9573-82); МАТ=5,946</t>
  </si>
  <si>
    <t>Плиты из минеральной ваты на синтетическом связующем М-125 (ГОСТ 9573-96)</t>
  </si>
  <si>
    <t xml:space="preserve">104-9100-91006 </t>
  </si>
  <si>
    <t xml:space="preserve">981,33
 </t>
  </si>
  <si>
    <t>Плиты теплоизоляционные энергетические гидрофобизированные базальтовые:ПТЭ-175, размером 2000х1000х50мм  5524,89/5,63=981,33</t>
  </si>
  <si>
    <t xml:space="preserve">ФССЦ-101-7194
----------------------------
Приказ Минстроя РФ от 30.01.14 №31/пр </t>
  </si>
  <si>
    <t xml:space="preserve">39,2
 </t>
  </si>
  <si>
    <t>ИЗОСПАН: А; МАТ=5,199</t>
  </si>
  <si>
    <t>ИЗОСПАН А</t>
  </si>
  <si>
    <t xml:space="preserve">ФЕР10-01-008-09
----------------------------
Приказ Минстроя РФ от 30.01.14 №31/пр </t>
  </si>
  <si>
    <t>6810,17
----------------
235,83</t>
  </si>
  <si>
    <t xml:space="preserve">6549,28
 </t>
  </si>
  <si>
    <t>10.16. Обивка стен кровельной сталью: оцинкованной по асбесту: ОЗП=15,9; ЭМ=11,58; ЗПМ=15,9; МАТ=4,76</t>
  </si>
  <si>
    <t>Обивка стен кровельной сталью: оцинкованной по асбесту</t>
  </si>
  <si>
    <t>100 м2 стен, фронтонов (за вычетом проемов) и развернутых поверхностей карнизов</t>
  </si>
  <si>
    <t xml:space="preserve">ФССЦ-509-0919
----------------------------
Приказ Минстроя РФ от 30.01.14 №31/пр </t>
  </si>
  <si>
    <t xml:space="preserve">5040
 </t>
  </si>
  <si>
    <t>Картон асбестовый общего назначения марки КАОН-1 толщиной 4 и 6 мм; МАТ=8,507</t>
  </si>
  <si>
    <t>Картон асбестовый общего назначения марки КАОН-1 толщиной 4 и 6 мм</t>
  </si>
  <si>
    <t xml:space="preserve">ФЕРр56-12-1 </t>
  </si>
  <si>
    <t>2321,17
----------------
849,59</t>
  </si>
  <si>
    <t xml:space="preserve">1471,58
 </t>
  </si>
  <si>
    <t>82.17 Смена дверных приборов: петли: ОЗП=15,9; МАТ=1,7</t>
  </si>
  <si>
    <t>НР 70%=82%*0.85 от ФОТ</t>
  </si>
  <si>
    <t>СП 50%=62%*0.8 от ФОТ</t>
  </si>
  <si>
    <t>Смена дверных приборов: петли</t>
  </si>
  <si>
    <t>100 шт. приборов</t>
  </si>
  <si>
    <t xml:space="preserve">ФЕРр56-12-3 </t>
  </si>
  <si>
    <t>2371,34
----------------
279,44</t>
  </si>
  <si>
    <t xml:space="preserve">2091,9
 </t>
  </si>
  <si>
    <t>82.19 Смена дверных приборов: ручки-скобы: ОЗП=15,9; МАТ=1,77</t>
  </si>
  <si>
    <t>Смена дверных приборов: ручки-скобы</t>
  </si>
  <si>
    <t xml:space="preserve">ФЕРр56-12-8 </t>
  </si>
  <si>
    <t>1417,34
----------------
279,44</t>
  </si>
  <si>
    <t xml:space="preserve">1137,9
 </t>
  </si>
  <si>
    <t>82.24 Смена дверных приборов: задвижки: ОЗП=15,9; МАТ=3,25</t>
  </si>
  <si>
    <t>Смена дверных приборов: задвижки</t>
  </si>
  <si>
    <t>2010
-----------------
91</t>
  </si>
  <si>
    <t>822,93
---------
12,3</t>
  </si>
  <si>
    <t>22179
-----------------
1447</t>
  </si>
  <si>
    <t>Итоги по разделу 2 Ремонт крыши :</t>
  </si>
  <si>
    <t xml:space="preserve">  Конструкции из кирпича и блоков</t>
  </si>
  <si>
    <t xml:space="preserve">  Кровли</t>
  </si>
  <si>
    <t>775,54
---------
12,3</t>
  </si>
  <si>
    <t xml:space="preserve">  Теплоизоляционные работы</t>
  </si>
  <si>
    <t xml:space="preserve">  Бетонные и железобетонные сборные конструкции в промышленном строительстве</t>
  </si>
  <si>
    <t xml:space="preserve">  Проемы (ремонтно-строительные)</t>
  </si>
  <si>
    <t xml:space="preserve">      Материалы</t>
  </si>
  <si>
    <t xml:space="preserve">  Итого по разделу 2 Ремонт крыши</t>
  </si>
  <si>
    <t>Раздел 3. Устройство кровли</t>
  </si>
  <si>
    <t xml:space="preserve">ФЕР10-01-002-01
----------------------------
Приказ Минстроя РФ от 30.01.14 №31/пр </t>
  </si>
  <si>
    <t>2409,75
----------------
287,77</t>
  </si>
  <si>
    <t>59,72
----------------
3,17</t>
  </si>
  <si>
    <t xml:space="preserve">2062,26
 </t>
  </si>
  <si>
    <t>10.4. Установка стропил: ОЗП=15,9; ЭМ=11,14; ЗПМ=15,9; МАТ=4,11</t>
  </si>
  <si>
    <t>11675
-----------------
890</t>
  </si>
  <si>
    <t>34,6294
-------------
0,2344</t>
  </si>
  <si>
    <t>607,75
------------
4,11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</si>
  <si>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 МДС 81-35.2004 пр.1 т.3 п.11.2. Ремонт сложных кровель ОЗП=1,25; ЭМ=1,25 к расх.; ЗПМ=1,25; ТЗ=1,25; ТЗМ=1,25)</t>
  </si>
  <si>
    <t>Установка стропил</t>
  </si>
  <si>
    <t xml:space="preserve">ФЕРр58-12-2
----------------------------
Приказ Минстроя РФ от 30.01.14 №31/пр </t>
  </si>
  <si>
    <t>1815,84
----------------
211,9</t>
  </si>
  <si>
    <t>33,21
----------------
5,4</t>
  </si>
  <si>
    <t xml:space="preserve">1570,73
 </t>
  </si>
  <si>
    <t>84.31 Устройство обрешетки с прозорами из досок и брусков под кровлю: из листовой стали: ОЗП=15,9; ЭМ=9,87; ЗПМ=15,9; МАТ=5,45</t>
  </si>
  <si>
    <t>1885
-----------------
493</t>
  </si>
  <si>
    <t>26,6875
-------------
0,4</t>
  </si>
  <si>
    <t>153,45
------------
2,3</t>
  </si>
  <si>
    <t>Устройство обрешетки с прозорами из досок и брусков под кровлю: из листовой стали</t>
  </si>
  <si>
    <t xml:space="preserve">ФЕР10-01-008-05
----------------------------
Приказ Минстроя РФ от 30.01.14 №31/пр </t>
  </si>
  <si>
    <t>5516,44
----------------
1402,76</t>
  </si>
  <si>
    <t xml:space="preserve">4013,92
 </t>
  </si>
  <si>
    <t>10.12. Устройство карнизов: ОЗП=15,9; ЭМ=11,52; ЗПМ=15,9; МАТ=8,81</t>
  </si>
  <si>
    <t>Устройство: карнизов (подшивка карниза)</t>
  </si>
  <si>
    <t xml:space="preserve">ФЕРр58-12-1
----------------------------
Приказ Минстроя РФ от 30.01.14 №31/пр </t>
  </si>
  <si>
    <t>2565,57
----------------
315,91</t>
  </si>
  <si>
    <t>50,98
----------------
7,43</t>
  </si>
  <si>
    <t xml:space="preserve">2198,68
 </t>
  </si>
  <si>
    <t>84.30 Устройство обрешетки сплошной из досок: ОЗП=15,9; ЭМ=10,05; ЗПМ=15,9; МАТ=5,72</t>
  </si>
  <si>
    <t>231
-----------------
48</t>
  </si>
  <si>
    <t>39,7875
-------------
0,55</t>
  </si>
  <si>
    <t>17,9
------------
0,25</t>
  </si>
  <si>
    <t>Устройство обрешетки сплошной из досок</t>
  </si>
  <si>
    <t xml:space="preserve">ФССЦ-101-7200
----------------------------
Приказ Минстроя РФ от 30.01.14 №31/пр </t>
  </si>
  <si>
    <t xml:space="preserve">37,5
 </t>
  </si>
  <si>
    <t>ИЗОСПАН: D; МАТ=4,463</t>
  </si>
  <si>
    <t>ИЗОСПАН D</t>
  </si>
  <si>
    <t xml:space="preserve">ФЕР12-01-009-01
----------------------------
Приказ Минстроя РФ от 30.01.14 №31/пр </t>
  </si>
  <si>
    <t>19135,17
----------------
831,36</t>
  </si>
  <si>
    <t>370,19
----------------
35,61</t>
  </si>
  <si>
    <t xml:space="preserve">17933,62
 </t>
  </si>
  <si>
    <t>12.26. Устройство желобов: ОЗП=15,9; ЭМ=11,67; ЗПМ=15,9; МАТ=4,3</t>
  </si>
  <si>
    <t>4750
-----------------
620</t>
  </si>
  <si>
    <t>97,4625
-------------
2,6375</t>
  </si>
  <si>
    <t>107,21
------------
2,9</t>
  </si>
  <si>
    <t>Устройство желобов: настенных</t>
  </si>
  <si>
    <t>100 м желобов</t>
  </si>
  <si>
    <t xml:space="preserve">ФССЦ-101-1875
----------------------------
Приказ Минстроя РФ от 30.01.14 №31/пр </t>
  </si>
  <si>
    <t xml:space="preserve">11200
 </t>
  </si>
  <si>
    <t>Сталь листовая оцинкованная толщиной листа:0,7 мм; МАТ=3,424</t>
  </si>
  <si>
    <t>Сталь листовая оцинкованная толщиной листа 0,7 мм</t>
  </si>
  <si>
    <t xml:space="preserve">ФССЦ-101-3741 </t>
  </si>
  <si>
    <t xml:space="preserve">10484
 </t>
  </si>
  <si>
    <t>Сталь листовая оцинкованная толщиной листа: 0,55 мм; МАТ=3,688</t>
  </si>
  <si>
    <t>Сталь листовая оцинкованная толщиной листа 0,55 мм</t>
  </si>
  <si>
    <t xml:space="preserve">ФЕР12-01-023-03
----------------------------
Приказ Минстроя РФ от 30.01.14 №31/пр </t>
  </si>
  <si>
    <t>11791,33
----------------
469,28</t>
  </si>
  <si>
    <t>144,05
----------------
13,34</t>
  </si>
  <si>
    <t xml:space="preserve">11178
 </t>
  </si>
  <si>
    <t>12.51. Устройство кровли из металлочерепицы (с отделочным покрытием): ОЗП=15,9; ЭМ=11,31; ЗПМ=15,9; МАТ=3,9</t>
  </si>
  <si>
    <t>9851
-----------------
1288</t>
  </si>
  <si>
    <t>54,3145
-------------
0,9875</t>
  </si>
  <si>
    <t>328,33
------------
5,97</t>
  </si>
  <si>
    <t>Устройство кровли из металлочерепицы по готовым прогонам: сложная кровля</t>
  </si>
  <si>
    <t xml:space="preserve">ФССЦ-101-1998
----------------------------
Приказ Минстроя РФ от 30.01.14 №31/пр </t>
  </si>
  <si>
    <t xml:space="preserve">25
 </t>
  </si>
  <si>
    <t>Прокладки уплотнительные:пенополиуретановые открытопористые для металлочерепицы (1800*50*50 мм); МАТ=5,822</t>
  </si>
  <si>
    <t>Прокладки уплотнительные пенополиуретановые открытопористые для металлочерепицы (1800*50*50 мм)</t>
  </si>
  <si>
    <t>м</t>
  </si>
  <si>
    <t xml:space="preserve">ФССЦ-101-4136
----------------------------
Приказ Минстроя РФ от 30.01.14 №31/пр </t>
  </si>
  <si>
    <t xml:space="preserve">70,5
 </t>
  </si>
  <si>
    <t>Металлочерепица «Монтеррей»; МАТ=3,726</t>
  </si>
  <si>
    <t>Металлочерепица «Монтеррей»</t>
  </si>
  <si>
    <t xml:space="preserve">ФССЦ-101-3845 </t>
  </si>
  <si>
    <t xml:space="preserve">10090,38
 </t>
  </si>
  <si>
    <t>Профилированный лист оцинкованный: НС44-1000-0,7; МАТ=4,698</t>
  </si>
  <si>
    <t>Профилированный лист оцинкованный НС44-1000-0,7 604,5*1,1*8,3/1000=5,519</t>
  </si>
  <si>
    <t>Сталь листовая оцинкованная толщиной листа 0,55 мм (покрытие эркеров+по скату к ВК и фан.трубам,в ендовых,примыкание к ВК и СО и фан.трубам)</t>
  </si>
  <si>
    <t xml:space="preserve">41,56
 </t>
  </si>
  <si>
    <t>Коньковый элемент из оцинк.стали 600х2500 234/5,63=41,56</t>
  </si>
  <si>
    <t>шт</t>
  </si>
  <si>
    <t xml:space="preserve">14,21
 </t>
  </si>
  <si>
    <t>Коньковый уплотнитель С-44-1000.А 80/5,63=14,21</t>
  </si>
  <si>
    <t xml:space="preserve">23,09
 </t>
  </si>
  <si>
    <t>Универсальный коньковый уплотнитель 130/5,63=23,09</t>
  </si>
  <si>
    <t>24787
-----------------
493</t>
  </si>
  <si>
    <t>Биопирен "Пирилакс-люкс"  209/5,63=37,14</t>
  </si>
  <si>
    <t xml:space="preserve">ФЕР13-03-002-04
----------------------------
Приказ Минстроя РФ от 30.01.14 №31/пр </t>
  </si>
  <si>
    <t>279,54
----------------
65,03</t>
  </si>
  <si>
    <t>11,79
----------------
0,13</t>
  </si>
  <si>
    <t xml:space="preserve">202,72
 </t>
  </si>
  <si>
    <t>13.39. Огрунтовка металлических поверхностей за один раз: грунтовкой ГФ-021: ОЗП=15,9; ЭМ=11,05; ЗПМ=15,9; МАТ=4,81</t>
  </si>
  <si>
    <t>6,1065
-------------
0,0125</t>
  </si>
  <si>
    <t>2,75
------------
0,01</t>
  </si>
  <si>
    <t>НР 69%=90%*(0.9*0.85) от ФОТ</t>
  </si>
  <si>
    <t>Огрунтовка металлических поверхностей за один раз: грунтовкой ГФ-021</t>
  </si>
  <si>
    <t>100 м2 окрашиваемой поверхности</t>
  </si>
  <si>
    <t xml:space="preserve">ФЕР13-03-004-26
----------------------------
Приказ Минстроя РФ от 30.01.14 №31/пр </t>
  </si>
  <si>
    <t>658,01
----------------
79,9</t>
  </si>
  <si>
    <t>15,55
----------------
0,25</t>
  </si>
  <si>
    <t xml:space="preserve">562,56
 </t>
  </si>
  <si>
    <t>13.100 Окраска металлических огрунтованных поверхностей: эмалью ПФ-115: ОЗП=15,9; ЭМ=10,87; ЗПМ=15,9; МАТ=6,04</t>
  </si>
  <si>
    <t>4,4045
-------------
0,025</t>
  </si>
  <si>
    <t>1,98
------------
0,01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</si>
  <si>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 к расх.; ТЗМ=2)</t>
  </si>
  <si>
    <t>Окраска металлических огрунтованных поверхностей: эмалью ПФ-115 к=2</t>
  </si>
  <si>
    <t>4781
-----------------
241</t>
  </si>
  <si>
    <t>1294,08
---------
15,55</t>
  </si>
  <si>
    <t>53875
-----------------
3832</t>
  </si>
  <si>
    <t>Итоги по разделу 3 Устройство кровли :</t>
  </si>
  <si>
    <t>675,5
---------
4,11</t>
  </si>
  <si>
    <t>178,31
---------
2,55</t>
  </si>
  <si>
    <t>435,54
---------
8,87</t>
  </si>
  <si>
    <t xml:space="preserve">  Защита строительных конструкций и оборудования от коррозии</t>
  </si>
  <si>
    <t>4,73
---------
0,02</t>
  </si>
  <si>
    <t xml:space="preserve">  Итого по разделу 3 Устройство кровли</t>
  </si>
  <si>
    <t>Раздел 4. Устройство слухового окна</t>
  </si>
  <si>
    <t xml:space="preserve">ФЕР10-01-003-01 </t>
  </si>
  <si>
    <t>392,81
----------------
65,03</t>
  </si>
  <si>
    <t>27,58
----------------
1,86</t>
  </si>
  <si>
    <t xml:space="preserve">300,2
 </t>
  </si>
  <si>
    <t>10.5. Устройство слуховых окон: ОЗП=15,9; ЭМ=11,38; ЗПМ=15,9; МАТ=5,5</t>
  </si>
  <si>
    <t>626
-----------------
64</t>
  </si>
  <si>
    <t>Устройство слуховых окон</t>
  </si>
  <si>
    <t>1 слуховое окно</t>
  </si>
  <si>
    <t xml:space="preserve">ФССЦ-101-2001 </t>
  </si>
  <si>
    <t xml:space="preserve">13,42
 </t>
  </si>
  <si>
    <t>Шпингалеты дверные размером 230x26 мм, оцинкованные или окрашенные; МАТ=5,297</t>
  </si>
  <si>
    <t>Шпингалеты дверные размером 230х26 мм, оцинкованные или окрашенные</t>
  </si>
  <si>
    <t>компл.</t>
  </si>
  <si>
    <t xml:space="preserve">ФССЦ-101-2007 </t>
  </si>
  <si>
    <t xml:space="preserve">3,74
 </t>
  </si>
  <si>
    <t>Петли форточные накладные размером 70x55 мм; МАТ=1,875</t>
  </si>
  <si>
    <t>Петли форточные накладные размером 70х55 мм</t>
  </si>
  <si>
    <t>Укладка ходовых досок</t>
  </si>
  <si>
    <t>56
-----------------
4</t>
  </si>
  <si>
    <t>637
-----------------
64</t>
  </si>
  <si>
    <t>Итоги по разделу 4 Устройство слухового окна :</t>
  </si>
  <si>
    <t xml:space="preserve">  Итого по разделу 4 Устройство слухового окна</t>
  </si>
  <si>
    <t>Раздел 5. Ограждение кровли</t>
  </si>
  <si>
    <t xml:space="preserve">ФЕР12-01-012-01
----------------------------
Приказ Минстроя РФ от 30.01.14 №31/пр </t>
  </si>
  <si>
    <t>3170,1
----------------
67,97</t>
  </si>
  <si>
    <t>69,23
----------------
4,9</t>
  </si>
  <si>
    <t xml:space="preserve">3032,91
 </t>
  </si>
  <si>
    <t>12.29. Ограждение кровель перилами: ОЗП=15,9; ЭМ=10,13; ЗПМ=15,9; МАТ=7,27</t>
  </si>
  <si>
    <t>496
-----------------
64</t>
  </si>
  <si>
    <t>7,6705
-------------
0,3625</t>
  </si>
  <si>
    <t>5,48
------------
0,26</t>
  </si>
  <si>
    <t>Ограждение кровель перилами</t>
  </si>
  <si>
    <t>100 м ограждения</t>
  </si>
  <si>
    <t xml:space="preserve">ФССЦ-201-0777
----------------------------
Приказ Минстроя РФ от 30.01.14 №31/пр </t>
  </si>
  <si>
    <t xml:space="preserve">10045
 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</si>
  <si>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МАТ=7,282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</si>
  <si>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</si>
  <si>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 xml:space="preserve">ФССЦ-201-0777 </t>
  </si>
  <si>
    <t xml:space="preserve">ФЕР13-03-004-26 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</si>
  <si>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МАТ=2)</t>
  </si>
  <si>
    <t>Окраска металлических огрунтованных поверхностей: эмалью ПФ-115 (за 2 раза)</t>
  </si>
  <si>
    <t>49
-----------------
4</t>
  </si>
  <si>
    <t>5,48
---------
0,26</t>
  </si>
  <si>
    <t>Итоги по разделу 5 Ограждение кровли :</t>
  </si>
  <si>
    <t xml:space="preserve">  Итого по разделу 5 Ограждение кровли</t>
  </si>
  <si>
    <t>Раздел 6. Устройство страховочного троса</t>
  </si>
  <si>
    <t>162
-----------------
16</t>
  </si>
  <si>
    <t>1,76
------------
0,08</t>
  </si>
  <si>
    <t xml:space="preserve">ФССЦ-509-0801 </t>
  </si>
  <si>
    <t xml:space="preserve">12,03
 </t>
  </si>
  <si>
    <t>Трос стальной; МАТ=6,918</t>
  </si>
  <si>
    <t>Трос стальной</t>
  </si>
  <si>
    <t xml:space="preserve">ФССЦ-509-0125 </t>
  </si>
  <si>
    <t xml:space="preserve">3000
 </t>
  </si>
  <si>
    <t>Анкер тросовой; МАТ=3,001</t>
  </si>
  <si>
    <t>Анкер тросовый</t>
  </si>
  <si>
    <t>100 шт.</t>
  </si>
  <si>
    <t>16
-----------------
1</t>
  </si>
  <si>
    <t>1,76
---------
0,08</t>
  </si>
  <si>
    <t>Итоги по разделу 6 Устройство страховочного троса :</t>
  </si>
  <si>
    <t xml:space="preserve">  Итого по разделу 6 Устройство страховочного троса</t>
  </si>
  <si>
    <t>Раздел 7. Устройство вентшахт</t>
  </si>
  <si>
    <t xml:space="preserve">ФЕР08-02-001-09 </t>
  </si>
  <si>
    <t>929,85
----------------
67,65</t>
  </si>
  <si>
    <t>38,88
----------------
6,08</t>
  </si>
  <si>
    <t xml:space="preserve">823,32
 </t>
  </si>
  <si>
    <t>8.14. Кладка стен из кирпича: ОЗП=15,9; ЭМ=12,03; ЗПМ=15,9; МАТ=4,68</t>
  </si>
  <si>
    <t>3934
-----------------
811</t>
  </si>
  <si>
    <t>Кладка стен приямков и каналов</t>
  </si>
  <si>
    <t xml:space="preserve">ФЕР08-02-007-01 </t>
  </si>
  <si>
    <t>7840,54
----------------
581,92</t>
  </si>
  <si>
    <t>58,61
----------------
3,89</t>
  </si>
  <si>
    <t xml:space="preserve">7200
 </t>
  </si>
  <si>
    <t>8.21. Армирование кладки стен и других конструкций: ОЗП=15,9; ЭМ=11,77; ЗПМ=15,9; МАТ=3,44</t>
  </si>
  <si>
    <t>Армирование кладки стен и других конструкций  1,5*26,5=39,75кг</t>
  </si>
  <si>
    <t>1 т металлических изделий</t>
  </si>
  <si>
    <t xml:space="preserve">ФЕР15-02-015-01
----------------------------
Приказ Минстроя РФ от 30.01.14 №31/пр </t>
  </si>
  <si>
    <t>1588,5
----------------
684,87</t>
  </si>
  <si>
    <t>93,18
----------------
56,89</t>
  </si>
  <si>
    <t xml:space="preserve">810,45
 </t>
  </si>
  <si>
    <t>15.86 Штукатурка поверхностей известковым раствором по камню и бетону: ОЗП=15,9; ЭМ=11,35; ЗПМ=15,9; МАТ=6,03</t>
  </si>
  <si>
    <t>568
-----------------
477</t>
  </si>
  <si>
    <t>75,509
-------------
6,2375</t>
  </si>
  <si>
    <t>40,47
------------
3,34</t>
  </si>
  <si>
    <t>НР 80%=105%*(0.9*0.85) от ФОТ</t>
  </si>
  <si>
    <t>СП 37%=55%*(0.85*0.8) от ФОТ</t>
  </si>
  <si>
    <t>Штукатурка поверхностей внутри здания известковым раствором простая: по камню и бетону стен</t>
  </si>
  <si>
    <t>100 м2 оштукатуриваемой поверхности</t>
  </si>
  <si>
    <t xml:space="preserve">ФЕР26-01-036-01
----------------------------
Приказ Минстроя РФ от 30.01.14 №31/пр </t>
  </si>
  <si>
    <t>269,35
----------------
152,18</t>
  </si>
  <si>
    <t>11,73
----------------
0,51</t>
  </si>
  <si>
    <t xml:space="preserve">105,45
 </t>
  </si>
  <si>
    <t>26.40 Изоляция изделиями из волокнистых и зернистых материалов с креплением на клее и дюбелями холодных поверхностей: наружных стен: ОЗП=15,9; ЭМ=9,47; ЗПМ=15,9; МАТ=1,72</t>
  </si>
  <si>
    <t>18,469
-------------
0,0375</t>
  </si>
  <si>
    <t>9,9
------------
0,02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</si>
  <si>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</si>
  <si>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</si>
  <si>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 xml:space="preserve">104-9100-91013 </t>
  </si>
  <si>
    <t>Плиты теплоизоляционные энергетические гидрофобизированные базальтовые:ПТЭ-125, размером 2000х1000х50мм  4105/5,63=729,16</t>
  </si>
  <si>
    <t xml:space="preserve">ФССЦ-101-2796
----------------------------
Приказ Минстроя РФ от 30.01.14 №31/пр </t>
  </si>
  <si>
    <t xml:space="preserve">6,22
 </t>
  </si>
  <si>
    <t>Дюбель распорный с металлическим стержнем: 10х120 мм; МАТ=1,057</t>
  </si>
  <si>
    <t>Дюбель распорный с металлическим стержнем 10х120 мм</t>
  </si>
  <si>
    <t>10 шт.</t>
  </si>
  <si>
    <t xml:space="preserve">ФЕР12-01-011-01 </t>
  </si>
  <si>
    <t>446,82
----------------
18,93</t>
  </si>
  <si>
    <t xml:space="preserve">426,8
 </t>
  </si>
  <si>
    <t>12.28. Устройство колпаков над шахтами: ОЗП=15,9; ЭМ=11,6; ЗПМ=15,9; МАТ=3,43</t>
  </si>
  <si>
    <t>Устройство колпаков над шахтами в два канала</t>
  </si>
  <si>
    <t>1 колпак</t>
  </si>
  <si>
    <t xml:space="preserve">ФЕР13-03-002-04 </t>
  </si>
  <si>
    <t>Окраска металлических огрунтованных поверхностей: эмалью ПФ-115</t>
  </si>
  <si>
    <t>648
-----------------
81</t>
  </si>
  <si>
    <t>65,84
---------
3,36</t>
  </si>
  <si>
    <t>7543
-----------------
1288</t>
  </si>
  <si>
    <t>Итоги по разделу 7 Устройство вентшахт :</t>
  </si>
  <si>
    <t xml:space="preserve">  Отделочные работы</t>
  </si>
  <si>
    <t>40,47
---------
3,34</t>
  </si>
  <si>
    <t>9,9
---------
0,02</t>
  </si>
  <si>
    <t xml:space="preserve">  Итого по разделу 7 Устройство вентшахт</t>
  </si>
  <si>
    <t>Раздел 8. Монтаж металлической лестницы</t>
  </si>
  <si>
    <t xml:space="preserve">ФЕР09-03-029-01
----------------------------
Приказ Минстроя РФ от 30.01.14 №31/пр </t>
  </si>
  <si>
    <t>1303,28
----------------
349,92</t>
  </si>
  <si>
    <t>864,86
----------------
95,31</t>
  </si>
  <si>
    <t xml:space="preserve">88,5
 </t>
  </si>
  <si>
    <t>9.35 Монтаж лестниц прямолинейных и криволинейных, пожарных с ограждением: ОЗП=15,9; ЭМ=10,53; ЗПМ=15,9; МАТ=6,75</t>
  </si>
  <si>
    <t>2127
-----------------
350</t>
  </si>
  <si>
    <t>37,2255
-------------
7,05</t>
  </si>
  <si>
    <t>8,71
------------
1,65</t>
  </si>
  <si>
    <t>Монтаж лестниц прямолинейных и криволинейных, пожарных с ограждением Кровельная лестница</t>
  </si>
  <si>
    <t>1 т конструкций</t>
  </si>
  <si>
    <t xml:space="preserve">ФССЦ-101-2037 </t>
  </si>
  <si>
    <t xml:space="preserve">26,94
 </t>
  </si>
  <si>
    <t>Болты с гайками и шайбами оцинкованные, диаметр: 8 мм; МАТ=2,557</t>
  </si>
  <si>
    <t>Болты с гайками и шайбами оцинкованные, диаметр 8 мм</t>
  </si>
  <si>
    <t>182
-----------------
16</t>
  </si>
  <si>
    <t>1,99
------------
0,09</t>
  </si>
  <si>
    <t>Ограждение кровель перилами (переходные мостики)</t>
  </si>
  <si>
    <t xml:space="preserve">531,97
 </t>
  </si>
  <si>
    <t>Переходной мостик BORGE   2995/5,63=531,97</t>
  </si>
  <si>
    <t>15,55
----------------
0,2</t>
  </si>
  <si>
    <t>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ТЗ=1,15;
к=2  ОЗП=2; ЭМ=2; ЗПМ=2; МАТ=2)</t>
  </si>
  <si>
    <t>220
-----------------
23</t>
  </si>
  <si>
    <t>10,7
---------
1,74</t>
  </si>
  <si>
    <t>2309
-----------------
366</t>
  </si>
  <si>
    <t>Итоги по разделу 8 Монтаж металлической лестницы :</t>
  </si>
  <si>
    <t xml:space="preserve">  Строительные металлические конструкции</t>
  </si>
  <si>
    <t>8,71
---------
1,65</t>
  </si>
  <si>
    <t>1,99
---------
0,09</t>
  </si>
  <si>
    <t xml:space="preserve">  Итого по разделу 8 Монтаж металлической лестницы</t>
  </si>
  <si>
    <t>Раздел 9. Фановые трубы</t>
  </si>
  <si>
    <t xml:space="preserve">ФЕР16-01-005-02
----------------------------
Приказ Минстроя РФ от 30.01.14 №31/пр </t>
  </si>
  <si>
    <t>12923,64
----------------
945,55</t>
  </si>
  <si>
    <t>147,84
----------------
6,08</t>
  </si>
  <si>
    <t xml:space="preserve">11830,25
 </t>
  </si>
  <si>
    <t>16.25 Прокладка по стенам зданий и в каналах трубопроводов из чугунных канализационных труб: ОЗП=15,9; ЭМ=11,7; ЗПМ=15,9; МАТ=5,6</t>
  </si>
  <si>
    <t>281
-----------------
16</t>
  </si>
  <si>
    <t>98,2905
-------------
0,45</t>
  </si>
  <si>
    <t>16,12
------------
0,07</t>
  </si>
  <si>
    <t>НР 98%=128%*(0.9*0.85) от ФОТ</t>
  </si>
  <si>
    <t>СП 56%=83%*(0.85*0.8) от ФОТ</t>
  </si>
  <si>
    <t>Прокладка по стенам зданий и в каналах трубопроводов из чугунных канализационных труб диаметром: 100 мм</t>
  </si>
  <si>
    <t>100 м трубопровода</t>
  </si>
  <si>
    <t xml:space="preserve">ФЕР26-01-022-01
----------------------------
Приказ Минстроя РФ от 30.01.14 №31/пр </t>
  </si>
  <si>
    <t>2826,69
----------------
275,62</t>
  </si>
  <si>
    <t xml:space="preserve">2505,89
 </t>
  </si>
  <si>
    <t>26.32 Изоляция поверхностей трубопроводов штучными изделиями из пенополиуретана (полуцилиндрами и сегментами): ОЗП=15,9; ЭМ=11,44; ЗПМ=15,9; МАТ=9,81</t>
  </si>
  <si>
    <t>Изоляция поверхностей трубопроводов штучными изделиями из пенополиуретана (полуцилиндрами и сегментами)</t>
  </si>
  <si>
    <t>1 м3 изоляции</t>
  </si>
  <si>
    <t xml:space="preserve">ФССЦ-104-8105
----------------------------
Приказ Минстроя РФ от 30.01.14 №31/пр </t>
  </si>
  <si>
    <t xml:space="preserve">1850
 </t>
  </si>
  <si>
    <t>Полуцилиндры (скорлупы) теплоизоляционные из пенополиуретана ППУ-17Н с внутренним диаметром 108-159 мм; МАТ=11,21</t>
  </si>
  <si>
    <t>Полуцилиндры (скорлупы) теплоизоляционные из пенополиуретана ППУ-17Н с внутренним диаметром 108-159 мм</t>
  </si>
  <si>
    <t xml:space="preserve">ФССЦ-113-0304
----------------------------
Приказ Минстроя РФ от 30.01.14 №31/пр </t>
  </si>
  <si>
    <t xml:space="preserve">45
 </t>
  </si>
  <si>
    <t>Клей резиновый № 88-Н; МАТ=3,757</t>
  </si>
  <si>
    <t>Клей резиновый № 88-Н</t>
  </si>
  <si>
    <t xml:space="preserve">ФССЦ-506-0878
----------------------------
Приказ Минстроя РФ от 30.01.14 №31/пр </t>
  </si>
  <si>
    <t xml:space="preserve">52,86
 </t>
  </si>
  <si>
    <t>Листы алюминиевые марки АД1Н, толщиной 1 мм; МАТ=4,946</t>
  </si>
  <si>
    <t>Листы алюминиевые марки АД1Н, толщиной 1 мм</t>
  </si>
  <si>
    <t xml:space="preserve">ФССЦ-101-1876
----------------------------
Приказ Минстроя РФ от 30.01.14 №31/пр </t>
  </si>
  <si>
    <t xml:space="preserve">11000
 </t>
  </si>
  <si>
    <t>Сталь листовая оцинкованная толщиной листа:0,8 мм; МАТ=3,367</t>
  </si>
  <si>
    <t>Сталь листовая оцинкованная толщиной листа 0,8 мм</t>
  </si>
  <si>
    <t xml:space="preserve">78,69
 </t>
  </si>
  <si>
    <t>Скорлупа ППУ с оцинк.кожухом диам.114мм, толщ.50мм  443/5,63=78,69</t>
  </si>
  <si>
    <t xml:space="preserve">63,22
 </t>
  </si>
  <si>
    <t>Монжета переходная-сталь 0,55 100ммх750мм/болт М8 420/5,63/1,18=63,22</t>
  </si>
  <si>
    <t xml:space="preserve">ФЕР20-02-009-04
----------------------------
Приказ Минстроя РФ от 30.01.14 №31/пр </t>
  </si>
  <si>
    <t>13,22
----------------
7,81</t>
  </si>
  <si>
    <t xml:space="preserve">3,06
 </t>
  </si>
  <si>
    <t>20.25 Установка зонтов над шахтами из листовой и оцинкованной стали: ОЗП=15,9; ЭМ=7,58; ЗПМ=15,9; МАТ=6,54</t>
  </si>
  <si>
    <t>Установка зонтов над шахтами из листовой стали круглого сечения диаметром: 400 мм</t>
  </si>
  <si>
    <t>1 зонт</t>
  </si>
  <si>
    <t xml:space="preserve">ФССЦ-301-0280 </t>
  </si>
  <si>
    <t xml:space="preserve">169,7
 </t>
  </si>
  <si>
    <t>Зонты вентиляционных систем из листовой оцинкованной стали, круглые, диаметром шахты 400 мм; МАТ=3,366</t>
  </si>
  <si>
    <t>Зонты вентиляционных систем из листовой оцинкованной стали, круглые, диаметром шахты 400 мм</t>
  </si>
  <si>
    <t>53
-----------------
1</t>
  </si>
  <si>
    <t>33,49
---------
0,07</t>
  </si>
  <si>
    <t>578
-----------------
16</t>
  </si>
  <si>
    <t>Итоги по разделу 9 Фановые трубы :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</si>
  <si>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</si>
  <si>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19,52
---------
0,07</t>
  </si>
  <si>
    <t xml:space="preserve">  Итого по разделу 9 Фановые трубы</t>
  </si>
  <si>
    <t>Раздел 10. Водосточная система</t>
  </si>
  <si>
    <t xml:space="preserve">ФЕРр58-15-1 </t>
  </si>
  <si>
    <t>529,88
----------------
521,86</t>
  </si>
  <si>
    <t xml:space="preserve">8,02
 </t>
  </si>
  <si>
    <t>84.42 Перенавеска водосточных труб: ОЗП=15,9; МАТ=4,22</t>
  </si>
  <si>
    <t>Перенавеска водосточных труб: с земли, лестниц или подмостей</t>
  </si>
  <si>
    <t>100 м труб</t>
  </si>
  <si>
    <t xml:space="preserve">ФССЦ-201-1101 </t>
  </si>
  <si>
    <t xml:space="preserve">56,5
 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</si>
  <si>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</si>
  <si>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</t>
  </si>
  <si>
    <t xml:space="preserve">ФССЦ-301-1104 </t>
  </si>
  <si>
    <t xml:space="preserve">67,8
 </t>
  </si>
  <si>
    <t>Воронка водосточная из оцинкованной стали толщиной 0,55 диаметром 215 мм; МАТ=8,251</t>
  </si>
  <si>
    <t>Воронка водосточная из оцинкованной стали толщиной 0,55 диаметром 215 мм</t>
  </si>
  <si>
    <t xml:space="preserve">ФССЦ-201-1102 </t>
  </si>
  <si>
    <t xml:space="preserve">34,8
 </t>
  </si>
  <si>
    <t>Колено из оцинкованной стали толщиной 0,55 мм, диаметром 140 мм, марка ТВ-140; МАТ=4,013</t>
  </si>
  <si>
    <t>Колено из оцинкованной стали толщиной 0,55 мм, диаметром 140 мм</t>
  </si>
  <si>
    <t xml:space="preserve">ФССЦ-201-1103 </t>
  </si>
  <si>
    <t xml:space="preserve">35,9
 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</si>
  <si>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</si>
  <si>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</si>
  <si>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Составлен(а) в текущих ценах по состоянию на 2 квартал 2016 г.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</si>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</sst>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1"/>
      <name val="Tahoma"/>
      <family val="2"/>
      <charset val="204"/>
    </font>
    <font>
      <b/>
      <sz val="14"/>
      <name val="Arial"/>
      <family val="2"/>
      <charset val="204"/>
    </font>
    <font>
      <b/>
      <sz val="14"/>
      <color indexed="81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u/>
      <sz val="10"/>
      <name val="Tahoma"/>
      <family val="2"/>
      <charset val="204"/>
    </font>
    <font>
      <b/>
      <u/>
      <sz val="12"/>
      <name val="Tahoma"/>
      <family val="2"/>
      <charset val="204"/>
    </font>
    <font>
      <sz val="7"/>
      <name val="Tahoma"/>
      <family val="2"/>
      <charset val="204"/>
    </font>
    <font>
      <b/>
      <u/>
      <sz val="10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i/>
      <sz val="10"/>
      <name val="Tahoma"/>
      <family val="2"/>
      <charset val="204"/>
    </font>
    <font>
      <i/>
      <sz val="10"/>
      <name val="Arial Cyr"/>
      <charset val="204"/>
    </font>
    <font>
      <sz val="10"/>
      <color rgb="FFFF0000"/>
      <name val="Tahoma"/>
      <family val="2"/>
      <charset val="204"/>
    </font>
    <font>
      <sz val="12"/>
      <name val="Tahoma"/>
      <family val="2"/>
      <charset val="204"/>
    </font>
    <font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Font="1" applyBorder="1"/>
    <xf numFmtId="0" fontId="1" fillId="0" borderId="0" xfId="9">
      <alignment horizontal="right" indent="1"/>
    </xf>
    <xf numFmtId="0" fontId="1" fillId="0" borderId="0" xfId="9" applyBorder="1">
      <alignment horizontal="right" indent="1"/>
    </xf>
    <xf numFmtId="0" fontId="9" fillId="0" borderId="0" xfId="0" applyFont="1" applyAlignment="1"/>
    <xf numFmtId="0" fontId="11" fillId="0" borderId="0" xfId="0" applyFont="1" applyAlignment="1">
      <alignment horizontal="center" vertical="top"/>
    </xf>
    <xf numFmtId="0" fontId="11" fillId="0" borderId="0" xfId="9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/>
    <xf numFmtId="0" fontId="12" fillId="0" borderId="2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0" xfId="0" quotePrefix="1" applyFont="1" applyBorder="1" applyAlignment="1">
      <alignment horizontal="right" vertical="top"/>
    </xf>
    <xf numFmtId="0" fontId="12" fillId="0" borderId="0" xfId="0" quotePrefix="1" applyFont="1" applyFill="1" applyBorder="1" applyAlignment="1">
      <alignment horizontal="left" vertical="top"/>
    </xf>
    <xf numFmtId="0" fontId="14" fillId="0" borderId="0" xfId="0" applyFont="1" applyBorder="1" applyAlignment="1">
      <alignment horizontal="right" vertical="top" wrapText="1"/>
    </xf>
    <xf numFmtId="0" fontId="12" fillId="0" borderId="0" xfId="0" quotePrefix="1" applyFont="1" applyBorder="1" applyAlignment="1">
      <alignment horizontal="left" vertical="top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11" fillId="0" borderId="0" xfId="11" applyFont="1" applyAlignment="1">
      <alignment horizontal="left"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center"/>
    </xf>
    <xf numFmtId="0" fontId="12" fillId="0" borderId="2" xfId="9" quotePrefix="1" applyFont="1" applyBorder="1" applyAlignment="1">
      <alignment horizontal="left"/>
    </xf>
    <xf numFmtId="0" fontId="12" fillId="0" borderId="2" xfId="10" applyFont="1" applyBorder="1" applyAlignment="1">
      <alignment horizontal="left"/>
    </xf>
    <xf numFmtId="0" fontId="12" fillId="0" borderId="3" xfId="9" quotePrefix="1" applyFont="1" applyBorder="1" applyAlignment="1">
      <alignment horizontal="left"/>
    </xf>
    <xf numFmtId="0" fontId="12" fillId="0" borderId="3" xfId="10" applyFont="1" applyBorder="1" applyAlignment="1">
      <alignment horizontal="left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7" fillId="0" borderId="0" xfId="9" applyFont="1" applyAlignment="1">
      <alignment horizontal="lef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6" fillId="0" borderId="0" xfId="9" applyFont="1" applyAlignment="1">
      <alignment horizontal="left" vertical="top"/>
    </xf>
    <xf numFmtId="0" fontId="11" fillId="0" borderId="4" xfId="4" applyFont="1" applyBorder="1" applyAlignment="1">
      <alignment horizontal="center" wrapText="1"/>
    </xf>
    <xf numFmtId="0" fontId="7" fillId="0" borderId="5" xfId="4" applyFont="1" applyBorder="1">
      <alignment horizontal="center" wrapText="1"/>
    </xf>
    <xf numFmtId="0" fontId="7" fillId="0" borderId="4" xfId="4" applyFont="1" applyBorder="1">
      <alignment horizontal="center" wrapText="1"/>
    </xf>
    <xf numFmtId="0" fontId="9" fillId="0" borderId="4" xfId="4" applyFont="1" applyBorder="1" applyAlignment="1">
      <alignment horizontal="left" vertical="top" wrapText="1"/>
    </xf>
    <xf numFmtId="0" fontId="1" fillId="0" borderId="4" xfId="4" applyBorder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" fillId="0" borderId="1" xfId="9" applyBorder="1">
      <alignment horizontal="right" indent="1"/>
    </xf>
    <xf numFmtId="0" fontId="1" fillId="0" borderId="1" xfId="0" applyFont="1" applyBorder="1" applyAlignment="1"/>
    <xf numFmtId="0" fontId="9" fillId="0" borderId="1" xfId="0" applyFont="1" applyBorder="1" applyAlignment="1"/>
    <xf numFmtId="0" fontId="12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4" xfId="0" applyNumberFormat="1" applyFont="1" applyBorder="1" applyAlignment="1">
      <alignment horizontal="right" vertical="top" wrapText="1"/>
    </xf>
    <xf numFmtId="0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4" fillId="0" borderId="4" xfId="0" applyNumberFormat="1" applyFont="1" applyBorder="1" applyAlignment="1">
      <alignment horizontal="right" vertical="top" wrapText="1"/>
    </xf>
    <xf numFmtId="0" fontId="24" fillId="0" borderId="4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1" fillId="0" borderId="1" xfId="3" applyFont="1" applyBorder="1" applyAlignment="1">
      <alignment horizontal="right" vertical="top" wrapText="1"/>
    </xf>
    <xf numFmtId="0" fontId="24" fillId="0" borderId="1" xfId="3" applyFont="1" applyBorder="1" applyAlignment="1">
      <alignment horizontal="right" vertical="top" wrapText="1"/>
    </xf>
    <xf numFmtId="0" fontId="16" fillId="0" borderId="0" xfId="9" applyFont="1" applyAlignment="1">
      <alignment horizontal="left"/>
    </xf>
    <xf numFmtId="0" fontId="28" fillId="0" borderId="2" xfId="9" applyFont="1" applyBorder="1" applyAlignment="1">
      <alignment horizontal="center"/>
    </xf>
    <xf numFmtId="0" fontId="12" fillId="0" borderId="0" xfId="9" applyFont="1" applyAlignment="1">
      <alignment horizontal="left" vertical="top" wrapText="1"/>
    </xf>
    <xf numFmtId="0" fontId="12" fillId="0" borderId="0" xfId="9" applyFont="1" applyAlignment="1">
      <alignment horizontal="right" vertical="top" wrapText="1"/>
    </xf>
    <xf numFmtId="0" fontId="11" fillId="0" borderId="4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6" fillId="0" borderId="0" xfId="9" applyFont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9" fillId="0" borderId="0" xfId="9" applyFont="1" applyBorder="1" applyAlignment="1">
      <alignment horizontal="center"/>
    </xf>
    <xf numFmtId="0" fontId="12" fillId="0" borderId="2" xfId="9" applyFont="1" applyBorder="1">
      <alignment horizontal="right" indent="1"/>
    </xf>
    <xf numFmtId="0" fontId="12" fillId="0" borderId="3" xfId="9" applyFont="1" applyBorder="1">
      <alignment horizontal="right" inden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11" xfId="0" applyFont="1" applyBorder="1" applyAlignment="1"/>
    <xf numFmtId="0" fontId="11" fillId="0" borderId="5" xfId="0" applyFont="1" applyBorder="1" applyAlignment="1"/>
    <xf numFmtId="0" fontId="11" fillId="0" borderId="12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27" fillId="0" borderId="0" xfId="0" quotePrefix="1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24" fillId="0" borderId="1" xfId="3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381"/>
  <sheetViews>
    <sheetView showGridLines="0" tabSelected="1" zoomScale="89" zoomScaleNormal="89" workbookViewId="0">
      <selection activeCell="A7" sqref="A7:N7"/>
    </sheetView>
  </sheetViews>
  <sheetFormatPr defaultColWidth="9.109375" defaultRowHeight="13.2" x14ac:dyDescent="0.25"/>
  <cols>
    <col min="1" max="1" width="5.5546875" style="3" customWidth="1"/>
    <col min="2" max="2" width="22.5546875" style="3" customWidth="1"/>
    <col min="3" max="3" width="46.33203125" style="3" customWidth="1"/>
    <col min="4" max="4" width="12.33203125" style="3" customWidth="1"/>
    <col min="5" max="5" width="10.88671875" style="4" customWidth="1"/>
    <col min="6" max="6" width="10.6640625" style="4" customWidth="1"/>
    <col min="7" max="7" width="10" style="4" customWidth="1"/>
    <col min="8" max="8" width="26.44140625" style="4" customWidth="1"/>
    <col min="9" max="9" width="14.88671875" style="4" customWidth="1"/>
    <col min="10" max="11" width="11" style="4" customWidth="1"/>
    <col min="12" max="12" width="10.6640625" style="4" customWidth="1"/>
    <col min="13" max="13" width="9" style="4" customWidth="1"/>
    <col min="14" max="14" width="8.5546875" style="2" customWidth="1"/>
    <col min="15" max="15" width="9.109375" style="2" hidden="1" customWidth="1"/>
    <col min="16" max="16" width="19.6640625" style="2" hidden="1" customWidth="1"/>
    <col min="17" max="26" width="9.109375" style="2" hidden="1" customWidth="1"/>
    <col min="27" max="28" width="30.6640625" style="2" hidden="1" customWidth="1"/>
    <col min="29" max="29" width="1.44140625" style="2" hidden="1" customWidth="1"/>
    <col min="30" max="34" width="30.6640625" style="2" hidden="1" customWidth="1"/>
    <col min="35" max="35" width="31.5546875" style="2" hidden="1" customWidth="1"/>
    <col min="36" max="16384" width="9.109375" style="2"/>
  </cols>
  <sheetData>
    <row r="1" spans="1:14" s="1" customFormat="1" ht="15" x14ac:dyDescent="0.25">
      <c r="A1" s="12"/>
      <c r="B1" s="13"/>
      <c r="C1" s="12"/>
      <c r="D1" s="14"/>
      <c r="E1" s="15"/>
      <c r="F1" s="83" t="s">
        <v>65</v>
      </c>
      <c r="G1" s="15"/>
      <c r="H1" s="16"/>
      <c r="I1" s="12"/>
      <c r="J1" s="12"/>
      <c r="K1" s="12"/>
      <c r="L1" s="12"/>
      <c r="M1" s="12"/>
      <c r="N1" s="17"/>
    </row>
    <row r="2" spans="1:14" s="1" customFormat="1" x14ac:dyDescent="0.25">
      <c r="A2" s="18" t="s">
        <v>78</v>
      </c>
      <c r="B2" s="13"/>
      <c r="C2" s="17"/>
      <c r="D2" s="16"/>
      <c r="E2" s="14"/>
      <c r="F2" s="48" t="s">
        <v>74</v>
      </c>
      <c r="G2" s="19"/>
      <c r="H2" s="17"/>
      <c r="J2" s="18"/>
      <c r="L2" s="18"/>
      <c r="M2" s="12"/>
      <c r="N2" s="42" t="s">
        <v>79</v>
      </c>
    </row>
    <row r="3" spans="1:14" s="1" customFormat="1" x14ac:dyDescent="0.25">
      <c r="A3" s="50" t="s">
        <v>80</v>
      </c>
      <c r="B3" s="17"/>
      <c r="C3" s="17"/>
      <c r="D3" s="17"/>
      <c r="E3" s="12"/>
      <c r="F3" s="12"/>
      <c r="G3" s="12"/>
      <c r="H3" s="12"/>
      <c r="J3" s="18"/>
      <c r="L3" s="18"/>
      <c r="M3" s="12"/>
      <c r="N3" s="51" t="s">
        <v>73</v>
      </c>
    </row>
    <row r="4" spans="1:14" s="1" customFormat="1" ht="51" customHeight="1" x14ac:dyDescent="0.25">
      <c r="A4" s="84"/>
      <c r="B4" s="84"/>
      <c r="C4" s="84"/>
      <c r="D4" s="49" t="s">
        <v>66</v>
      </c>
      <c r="E4" s="14"/>
      <c r="G4" s="12"/>
      <c r="H4" s="17"/>
      <c r="I4" s="85"/>
      <c r="J4" s="85"/>
      <c r="K4" s="85"/>
      <c r="L4" s="85"/>
      <c r="M4" s="85"/>
      <c r="N4" s="85"/>
    </row>
    <row r="5" spans="1:14" s="1" customFormat="1" x14ac:dyDescent="0.25">
      <c r="A5" s="12"/>
      <c r="B5" s="12"/>
      <c r="C5" s="12"/>
      <c r="D5" s="17"/>
      <c r="E5" s="14"/>
      <c r="F5" s="47" t="s">
        <v>75</v>
      </c>
      <c r="G5" s="12"/>
      <c r="H5" s="17"/>
      <c r="I5" s="12"/>
      <c r="J5" s="12"/>
      <c r="K5" s="12"/>
      <c r="L5" s="12"/>
      <c r="M5" s="12"/>
      <c r="N5" s="17"/>
    </row>
    <row r="6" spans="1:14" s="1" customFormat="1" x14ac:dyDescent="0.25">
      <c r="A6" s="12"/>
      <c r="B6" s="12"/>
      <c r="C6" s="12"/>
      <c r="D6" s="17"/>
      <c r="E6" s="12"/>
      <c r="F6" s="12"/>
      <c r="G6" s="12"/>
      <c r="H6" s="12"/>
      <c r="I6" s="12"/>
      <c r="J6" s="12"/>
      <c r="K6" s="12"/>
      <c r="L6" s="12"/>
      <c r="M6" s="12"/>
      <c r="N6" s="17"/>
    </row>
    <row r="7" spans="1:14" s="1" customFormat="1" ht="15" x14ac:dyDescent="0.25">
      <c r="A7" s="101" t="s">
        <v>67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s="1" customFormat="1" x14ac:dyDescent="0.25">
      <c r="A8" s="12"/>
      <c r="B8" s="12"/>
      <c r="C8" s="12"/>
      <c r="E8" s="19"/>
      <c r="F8" s="48" t="s">
        <v>94</v>
      </c>
      <c r="G8" s="19"/>
      <c r="H8" s="17"/>
      <c r="I8" s="20"/>
      <c r="J8" s="20"/>
      <c r="K8" s="20"/>
      <c r="L8" s="20"/>
      <c r="M8" s="12"/>
      <c r="N8" s="17"/>
    </row>
    <row r="9" spans="1:14" s="1" customFormat="1" ht="7.5" customHeight="1" x14ac:dyDescent="0.25">
      <c r="A9" s="21"/>
      <c r="B9" s="21"/>
      <c r="C9" s="12"/>
      <c r="D9" s="17"/>
      <c r="E9" s="12"/>
      <c r="F9" s="12"/>
      <c r="G9" s="12"/>
      <c r="H9" s="12"/>
      <c r="I9" s="12"/>
      <c r="J9" s="12"/>
      <c r="K9" s="17"/>
      <c r="L9" s="17"/>
      <c r="M9" s="12"/>
      <c r="N9" s="17"/>
    </row>
    <row r="10" spans="1:14" x14ac:dyDescent="0.25">
      <c r="A10" s="92" t="s">
        <v>68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x14ac:dyDescent="0.25">
      <c r="A11" s="43" t="s">
        <v>83</v>
      </c>
      <c r="B11" s="44"/>
      <c r="C11" s="102">
        <v>2732977</v>
      </c>
      <c r="D11" s="102"/>
      <c r="E11" s="102"/>
      <c r="F11" s="22" t="s">
        <v>82</v>
      </c>
      <c r="G11" s="23"/>
      <c r="H11" s="23"/>
      <c r="I11" s="23"/>
      <c r="J11" s="23"/>
      <c r="K11" s="24"/>
      <c r="L11" s="24"/>
      <c r="M11" s="24"/>
      <c r="N11" s="25"/>
    </row>
    <row r="12" spans="1:14" x14ac:dyDescent="0.25">
      <c r="A12" s="45" t="s">
        <v>93</v>
      </c>
      <c r="B12" s="46"/>
      <c r="C12" s="26"/>
      <c r="D12" s="103">
        <v>502001</v>
      </c>
      <c r="E12" s="103"/>
      <c r="F12" s="22" t="s">
        <v>82</v>
      </c>
      <c r="G12" s="23"/>
      <c r="H12" s="23"/>
      <c r="I12" s="23"/>
      <c r="J12" s="23"/>
      <c r="K12" s="24"/>
      <c r="L12" s="24"/>
      <c r="M12" s="24"/>
      <c r="N12" s="25"/>
    </row>
    <row r="13" spans="1:14" x14ac:dyDescent="0.25">
      <c r="A13" s="82" t="s">
        <v>761</v>
      </c>
      <c r="B13" s="25"/>
      <c r="C13" s="27"/>
      <c r="D13" s="28"/>
      <c r="E13" s="29"/>
      <c r="F13" s="30"/>
      <c r="G13" s="31"/>
      <c r="H13" s="110" t="s">
        <v>762</v>
      </c>
      <c r="I13" s="110"/>
      <c r="J13" s="110"/>
      <c r="K13" s="110"/>
      <c r="L13" s="110"/>
      <c r="M13" s="110"/>
      <c r="N13" s="110"/>
    </row>
    <row r="14" spans="1:14" x14ac:dyDescent="0.25">
      <c r="A14" s="52" t="s">
        <v>98</v>
      </c>
      <c r="B14" s="25"/>
      <c r="C14" s="27"/>
      <c r="D14" s="28"/>
      <c r="E14" s="29"/>
      <c r="F14" s="30"/>
      <c r="G14" s="31"/>
      <c r="H14" s="31"/>
      <c r="I14" s="23"/>
      <c r="J14" s="23"/>
      <c r="K14" s="24"/>
      <c r="L14" s="24"/>
      <c r="M14" s="24"/>
      <c r="N14" s="25"/>
    </row>
    <row r="15" spans="1:14" ht="12.75" customHeight="1" x14ac:dyDescent="0.25">
      <c r="A15" s="88" t="s">
        <v>76</v>
      </c>
      <c r="B15" s="88" t="s">
        <v>90</v>
      </c>
      <c r="C15" s="86" t="s">
        <v>95</v>
      </c>
      <c r="D15" s="86" t="s">
        <v>91</v>
      </c>
      <c r="E15" s="95" t="s">
        <v>96</v>
      </c>
      <c r="F15" s="105"/>
      <c r="G15" s="106"/>
      <c r="H15" s="86" t="s">
        <v>77</v>
      </c>
      <c r="I15" s="95" t="s">
        <v>97</v>
      </c>
      <c r="J15" s="96"/>
      <c r="K15" s="96"/>
      <c r="L15" s="97"/>
      <c r="M15" s="104" t="s">
        <v>92</v>
      </c>
      <c r="N15" s="97"/>
    </row>
    <row r="16" spans="1:14" s="5" customFormat="1" ht="38.25" customHeight="1" x14ac:dyDescent="0.25">
      <c r="A16" s="89"/>
      <c r="B16" s="89"/>
      <c r="C16" s="89"/>
      <c r="D16" s="89"/>
      <c r="E16" s="107"/>
      <c r="F16" s="108"/>
      <c r="G16" s="109"/>
      <c r="H16" s="89"/>
      <c r="I16" s="98"/>
      <c r="J16" s="99"/>
      <c r="K16" s="99"/>
      <c r="L16" s="100"/>
      <c r="M16" s="98"/>
      <c r="N16" s="100"/>
    </row>
    <row r="17" spans="1:35" s="5" customFormat="1" ht="12.75" customHeight="1" x14ac:dyDescent="0.25">
      <c r="A17" s="89"/>
      <c r="B17" s="89"/>
      <c r="C17" s="89"/>
      <c r="D17" s="89"/>
      <c r="E17" s="32" t="s">
        <v>85</v>
      </c>
      <c r="F17" s="32" t="s">
        <v>87</v>
      </c>
      <c r="G17" s="86" t="s">
        <v>89</v>
      </c>
      <c r="H17" s="89"/>
      <c r="I17" s="86" t="s">
        <v>85</v>
      </c>
      <c r="J17" s="86" t="s">
        <v>88</v>
      </c>
      <c r="K17" s="32" t="s">
        <v>87</v>
      </c>
      <c r="L17" s="86" t="s">
        <v>89</v>
      </c>
      <c r="M17" s="88" t="s">
        <v>81</v>
      </c>
      <c r="N17" s="86" t="s">
        <v>85</v>
      </c>
    </row>
    <row r="18" spans="1:35" s="5" customFormat="1" ht="11.25" customHeight="1" x14ac:dyDescent="0.25">
      <c r="A18" s="87"/>
      <c r="B18" s="87"/>
      <c r="C18" s="87"/>
      <c r="D18" s="87"/>
      <c r="E18" s="33" t="s">
        <v>84</v>
      </c>
      <c r="F18" s="32" t="s">
        <v>86</v>
      </c>
      <c r="G18" s="87"/>
      <c r="H18" s="87"/>
      <c r="I18" s="87"/>
      <c r="J18" s="87"/>
      <c r="K18" s="32" t="s">
        <v>86</v>
      </c>
      <c r="L18" s="87"/>
      <c r="M18" s="87"/>
      <c r="N18" s="87"/>
    </row>
    <row r="19" spans="1:35" ht="17.399999999999999" x14ac:dyDescent="0.25">
      <c r="A19" s="53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53">
        <v>7</v>
      </c>
      <c r="H19" s="53">
        <v>8</v>
      </c>
      <c r="I19" s="53">
        <v>9</v>
      </c>
      <c r="J19" s="53">
        <v>10</v>
      </c>
      <c r="K19" s="53">
        <v>11</v>
      </c>
      <c r="L19" s="53">
        <v>12</v>
      </c>
      <c r="M19" s="53">
        <v>13</v>
      </c>
      <c r="N19" s="53">
        <v>14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54"/>
      <c r="AB19" s="55"/>
      <c r="AC19" s="55"/>
      <c r="AD19" s="55"/>
      <c r="AE19" s="55"/>
      <c r="AF19" s="56"/>
      <c r="AG19" s="57"/>
      <c r="AH19" s="57"/>
      <c r="AI19" s="57"/>
    </row>
    <row r="20" spans="1:35" ht="18.45" customHeight="1" x14ac:dyDescent="0.25">
      <c r="A20" s="93" t="s">
        <v>101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</row>
    <row r="21" spans="1:35" ht="136.80000000000001" x14ac:dyDescent="0.3">
      <c r="A21" s="58">
        <v>1</v>
      </c>
      <c r="B21" s="59" t="s">
        <v>102</v>
      </c>
      <c r="C21" s="60" t="str">
        <f t="shared" ref="C21:C34" ca="1" si="0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Разборка покрытий кровель: из волнистых и полуволнистых асбестоцементных листов
-----------------------------------------------------------------------
100 м2 покрытия
-----------------------------------------------------------------------(МДС 81-38.2004 пр.3  п.11.2. Ремонт сложных кровель ОЗП=1,25; ЭМ=1,25 к расх.; ЗПМ=1,25; ТЗ=1,25; ТЗМ=1,25)
-----------------------------------------------------------------------12849 руб. НР 84%=110%*(0.9*0.85) от ФОТ (15296 руб.)
7342 руб. СП 48%=70%*(0.85*0.8) от ФОТ (15296 руб.)
</v>
      </c>
      <c r="D21" s="61">
        <v>6.2</v>
      </c>
      <c r="E21" s="62" t="s">
        <v>103</v>
      </c>
      <c r="F21" s="62">
        <v>38.299999999999997</v>
      </c>
      <c r="G21" s="62" t="s">
        <v>104</v>
      </c>
      <c r="H21" s="63" t="s">
        <v>105</v>
      </c>
      <c r="I21" s="64">
        <v>16009</v>
      </c>
      <c r="J21" s="62">
        <v>15296</v>
      </c>
      <c r="K21" s="62">
        <v>713</v>
      </c>
      <c r="L21" s="62" t="str">
        <f>IF(6.2*0=0," ",TEXT(,ROUND((6.2*0*1),0)))</f>
        <v xml:space="preserve"> </v>
      </c>
      <c r="M21" s="62"/>
      <c r="N21" s="62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6" t="s">
        <v>106</v>
      </c>
      <c r="AB21" s="66" t="s">
        <v>107</v>
      </c>
      <c r="AC21" s="66">
        <v>12849</v>
      </c>
      <c r="AD21" s="66">
        <v>7342</v>
      </c>
      <c r="AE21" s="66" t="s">
        <v>108</v>
      </c>
      <c r="AF21" s="67" t="s">
        <v>109</v>
      </c>
      <c r="AG21" s="66" t="s">
        <v>110</v>
      </c>
      <c r="AH21" s="66"/>
      <c r="AI21" s="66">
        <f>15296+0</f>
        <v>15296</v>
      </c>
    </row>
    <row r="22" spans="1:35" ht="136.80000000000001" x14ac:dyDescent="0.3">
      <c r="A22" s="58">
        <v>2</v>
      </c>
      <c r="B22" s="59" t="s">
        <v>111</v>
      </c>
      <c r="C22" s="60" t="str">
        <f t="shared" ca="1" si="0"/>
        <v xml:space="preserve">Разборка деревянных элементов конструкций крыш: стропил со стойками и подкосами из досок
-----------------------------------------------------------------------
100 м2 кровли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-----------------------------------------------------------------------12700 руб. НР 71%=83%*0.85 от ФОТ (17888 руб.)
9302 руб. СП 52%=65%*0.8 от ФОТ (17888 руб.)
</v>
      </c>
      <c r="D22" s="61">
        <v>4.8</v>
      </c>
      <c r="E22" s="62" t="s">
        <v>112</v>
      </c>
      <c r="F22" s="62" t="s">
        <v>113</v>
      </c>
      <c r="G22" s="62" t="s">
        <v>104</v>
      </c>
      <c r="H22" s="63" t="s">
        <v>114</v>
      </c>
      <c r="I22" s="64">
        <v>19311</v>
      </c>
      <c r="J22" s="62">
        <v>17506</v>
      </c>
      <c r="K22" s="62" t="s">
        <v>115</v>
      </c>
      <c r="L22" s="62" t="str">
        <f>IF(4.8*0=0," ",TEXT(,ROUND((4.8*0*1),0)))</f>
        <v xml:space="preserve"> </v>
      </c>
      <c r="M22" s="62"/>
      <c r="N22" s="62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6" t="s">
        <v>116</v>
      </c>
      <c r="AB22" s="66" t="s">
        <v>117</v>
      </c>
      <c r="AC22" s="66">
        <v>12700</v>
      </c>
      <c r="AD22" s="66">
        <v>9302</v>
      </c>
      <c r="AE22" s="66" t="s">
        <v>118</v>
      </c>
      <c r="AF22" s="67" t="s">
        <v>119</v>
      </c>
      <c r="AG22" s="66" t="s">
        <v>120</v>
      </c>
      <c r="AH22" s="66"/>
      <c r="AI22" s="66">
        <f>17506+382</f>
        <v>17888</v>
      </c>
    </row>
    <row r="23" spans="1:35" ht="136.80000000000001" x14ac:dyDescent="0.3">
      <c r="A23" s="58">
        <v>3</v>
      </c>
      <c r="B23" s="59" t="s">
        <v>121</v>
      </c>
      <c r="C23" s="60" t="str">
        <f t="shared" ca="1" si="0"/>
        <v xml:space="preserve">Разборка деревянных элементов конструкций крыш: мауэрлатов
-----------------------------------------------------------------------
100 м2 кровли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-----------------------------------------------------------------------3872 руб. НР 71%=83%*0.85 от ФОТ (5454 руб.)
2836 руб. СП 52%=65%*0.8 от ФОТ (5454 руб.)
</v>
      </c>
      <c r="D23" s="61">
        <v>4.8</v>
      </c>
      <c r="E23" s="62" t="s">
        <v>122</v>
      </c>
      <c r="F23" s="62" t="s">
        <v>123</v>
      </c>
      <c r="G23" s="62" t="s">
        <v>104</v>
      </c>
      <c r="H23" s="63" t="s">
        <v>114</v>
      </c>
      <c r="I23" s="64">
        <v>6788</v>
      </c>
      <c r="J23" s="62">
        <v>5104</v>
      </c>
      <c r="K23" s="62" t="s">
        <v>124</v>
      </c>
      <c r="L23" s="62" t="str">
        <f>IF(4.8*0=0," ",TEXT(,ROUND((4.8*0*1),0)))</f>
        <v xml:space="preserve"> </v>
      </c>
      <c r="M23" s="62"/>
      <c r="N23" s="62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 t="s">
        <v>116</v>
      </c>
      <c r="AB23" s="66" t="s">
        <v>117</v>
      </c>
      <c r="AC23" s="66">
        <v>3872</v>
      </c>
      <c r="AD23" s="66">
        <v>2836</v>
      </c>
      <c r="AE23" s="66" t="s">
        <v>118</v>
      </c>
      <c r="AF23" s="67" t="s">
        <v>125</v>
      </c>
      <c r="AG23" s="66" t="s">
        <v>120</v>
      </c>
      <c r="AH23" s="66"/>
      <c r="AI23" s="66">
        <f>5104+350</f>
        <v>5454</v>
      </c>
    </row>
    <row r="24" spans="1:35" ht="136.80000000000001" x14ac:dyDescent="0.3">
      <c r="A24" s="58">
        <v>4</v>
      </c>
      <c r="B24" s="59" t="s">
        <v>126</v>
      </c>
      <c r="C24" s="60" t="str">
        <f t="shared" ca="1" si="0"/>
        <v xml:space="preserve">Разборка деревянных элементов конструкций крыш: обрешетки из брусков с прозорами
-----------------------------------------------------------------------
100 м2 кровли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-----------------------------------------------------------------------11075 руб. НР 71%=83%*0.85 от ФОТ (15598 руб.)
8111 руб. СП 52%=65%*0.8 от ФОТ (15598 руб.)
</v>
      </c>
      <c r="D24" s="61">
        <v>6.2</v>
      </c>
      <c r="E24" s="62" t="s">
        <v>127</v>
      </c>
      <c r="F24" s="62" t="s">
        <v>128</v>
      </c>
      <c r="G24" s="62" t="s">
        <v>104</v>
      </c>
      <c r="H24" s="63" t="s">
        <v>114</v>
      </c>
      <c r="I24" s="64">
        <v>18540</v>
      </c>
      <c r="J24" s="62">
        <v>14835</v>
      </c>
      <c r="K24" s="62" t="s">
        <v>129</v>
      </c>
      <c r="L24" s="62" t="str">
        <f>IF(6.2*0=0," ",TEXT(,ROUND((6.2*0*1),0)))</f>
        <v xml:space="preserve"> </v>
      </c>
      <c r="M24" s="62"/>
      <c r="N24" s="62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6" t="s">
        <v>116</v>
      </c>
      <c r="AB24" s="66" t="s">
        <v>117</v>
      </c>
      <c r="AC24" s="66">
        <v>11075</v>
      </c>
      <c r="AD24" s="66">
        <v>8111</v>
      </c>
      <c r="AE24" s="66" t="s">
        <v>118</v>
      </c>
      <c r="AF24" s="67" t="s">
        <v>130</v>
      </c>
      <c r="AG24" s="66" t="s">
        <v>120</v>
      </c>
      <c r="AH24" s="66"/>
      <c r="AI24" s="66">
        <f>14835+763</f>
        <v>15598</v>
      </c>
    </row>
    <row r="25" spans="1:35" ht="79.8" x14ac:dyDescent="0.3">
      <c r="A25" s="58">
        <v>5</v>
      </c>
      <c r="B25" s="59" t="s">
        <v>131</v>
      </c>
      <c r="C25" s="60" t="str">
        <f t="shared" ca="1" si="0"/>
        <v xml:space="preserve">Разборка: кирпичных стен
-----------------------------------------------------------------------
1 м3
-----------------------------------------------------------------------228 руб. НР 84%=110%*(0.9*0.85) от ФОТ (271 руб.)
130 руб. СП 48%=70%*(0.85*0.8) от ФОТ (271 руб.)
</v>
      </c>
      <c r="D25" s="61">
        <v>0.2</v>
      </c>
      <c r="E25" s="62" t="s">
        <v>132</v>
      </c>
      <c r="F25" s="62" t="s">
        <v>133</v>
      </c>
      <c r="G25" s="62" t="s">
        <v>104</v>
      </c>
      <c r="H25" s="63" t="s">
        <v>134</v>
      </c>
      <c r="I25" s="64">
        <v>347</v>
      </c>
      <c r="J25" s="62">
        <v>239</v>
      </c>
      <c r="K25" s="62" t="s">
        <v>135</v>
      </c>
      <c r="L25" s="62" t="str">
        <f>IF(0.2*0=0," ",TEXT(,ROUND((0.2*0*1),0)))</f>
        <v xml:space="preserve"> </v>
      </c>
      <c r="M25" s="62" t="s">
        <v>136</v>
      </c>
      <c r="N25" s="62" t="s">
        <v>137</v>
      </c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 t="s">
        <v>106</v>
      </c>
      <c r="AB25" s="66" t="s">
        <v>107</v>
      </c>
      <c r="AC25" s="66">
        <v>228</v>
      </c>
      <c r="AD25" s="66">
        <v>130</v>
      </c>
      <c r="AE25" s="66"/>
      <c r="AF25" s="67" t="s">
        <v>138</v>
      </c>
      <c r="AG25" s="66" t="s">
        <v>139</v>
      </c>
      <c r="AH25" s="66"/>
      <c r="AI25" s="66">
        <f>239+32</f>
        <v>271</v>
      </c>
    </row>
    <row r="26" spans="1:35" ht="91.2" x14ac:dyDescent="0.3">
      <c r="A26" s="58">
        <v>6</v>
      </c>
      <c r="B26" s="59" t="s">
        <v>140</v>
      </c>
      <c r="C26" s="60" t="str">
        <f t="shared" ca="1" si="0"/>
        <v xml:space="preserve">Разборка дымовых кирпичных труб и боровов в один канал
-----------------------------------------------------------------------
100 м
-----------------------------------------------------------------------2067 руб. НР 66%=78%*0.85 от ФОТ (3132 руб.)
1566 руб. СП 50%=63%*0.8 от ФОТ (3132 руб.)
</v>
      </c>
      <c r="D26" s="61">
        <v>0.14000000000000001</v>
      </c>
      <c r="E26" s="62" t="s">
        <v>141</v>
      </c>
      <c r="F26" s="62" t="s">
        <v>142</v>
      </c>
      <c r="G26" s="62" t="s">
        <v>104</v>
      </c>
      <c r="H26" s="63" t="s">
        <v>143</v>
      </c>
      <c r="I26" s="64">
        <v>3125</v>
      </c>
      <c r="J26" s="62">
        <v>3005</v>
      </c>
      <c r="K26" s="62" t="s">
        <v>144</v>
      </c>
      <c r="L26" s="62" t="str">
        <f>IF(0.14*0=0," ",TEXT(,ROUND((0.14*0*1),0)))</f>
        <v xml:space="preserve"> </v>
      </c>
      <c r="M26" s="62"/>
      <c r="N26" s="62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6" t="s">
        <v>145</v>
      </c>
      <c r="AB26" s="66" t="s">
        <v>146</v>
      </c>
      <c r="AC26" s="66">
        <v>2067</v>
      </c>
      <c r="AD26" s="66">
        <v>1566</v>
      </c>
      <c r="AE26" s="66"/>
      <c r="AF26" s="67" t="s">
        <v>147</v>
      </c>
      <c r="AG26" s="66" t="s">
        <v>148</v>
      </c>
      <c r="AH26" s="66"/>
      <c r="AI26" s="66">
        <f>3005+127</f>
        <v>3132</v>
      </c>
    </row>
    <row r="27" spans="1:35" ht="91.2" x14ac:dyDescent="0.3">
      <c r="A27" s="58">
        <v>7</v>
      </c>
      <c r="B27" s="59" t="s">
        <v>149</v>
      </c>
      <c r="C27" s="60" t="str">
        <f t="shared" ca="1" si="0"/>
        <v xml:space="preserve">Очистка помещений от строительного мусора  (от шлака ,410м2х0,16м=65,6м3х1,1=72,16т
-----------------------------------------------------------------------
100 т мусора
-----------------------------------------------------------------------11764 руб. НР 66%=78%*0.85 от ФОТ (17824 руб.)
7130 руб. СП 40%=50%*0.8 от ФОТ (17824 руб.)
</v>
      </c>
      <c r="D27" s="61">
        <v>0.72160000000000002</v>
      </c>
      <c r="E27" s="62" t="s">
        <v>150</v>
      </c>
      <c r="F27" s="62"/>
      <c r="G27" s="62" t="s">
        <v>104</v>
      </c>
      <c r="H27" s="63" t="s">
        <v>151</v>
      </c>
      <c r="I27" s="64">
        <v>17824</v>
      </c>
      <c r="J27" s="62">
        <v>17824</v>
      </c>
      <c r="K27" s="62"/>
      <c r="L27" s="62" t="str">
        <f>IF(0.7216*0=0," ",TEXT(,ROUND((0.7216*0*1),0)))</f>
        <v xml:space="preserve"> </v>
      </c>
      <c r="M27" s="62"/>
      <c r="N27" s="62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 t="s">
        <v>145</v>
      </c>
      <c r="AB27" s="66" t="s">
        <v>152</v>
      </c>
      <c r="AC27" s="66">
        <v>11764</v>
      </c>
      <c r="AD27" s="66">
        <v>7130</v>
      </c>
      <c r="AE27" s="66"/>
      <c r="AF27" s="67" t="s">
        <v>153</v>
      </c>
      <c r="AG27" s="66" t="s">
        <v>154</v>
      </c>
      <c r="AH27" s="66"/>
      <c r="AI27" s="66">
        <f>17824+0</f>
        <v>17824</v>
      </c>
    </row>
    <row r="28" spans="1:35" ht="125.4" x14ac:dyDescent="0.3">
      <c r="A28" s="58">
        <v>8</v>
      </c>
      <c r="B28" s="59" t="s">
        <v>155</v>
      </c>
      <c r="C28" s="60" t="str">
        <f t="shared" ca="1" si="0"/>
        <v xml:space="preserve">Разборка слуховых окон: прямоугольных двускатных
-----------------------------------------------------------------------
100 окон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-----------------------------------------------------------------------384 руб. НР 71%=83%*0.85 от ФОТ (541 руб.)
281 руб. СП 52%=65%*0.8 от ФОТ (541 руб.)
</v>
      </c>
      <c r="D28" s="61">
        <v>0.01</v>
      </c>
      <c r="E28" s="62" t="s">
        <v>156</v>
      </c>
      <c r="F28" s="62">
        <v>12.96</v>
      </c>
      <c r="G28" s="62" t="s">
        <v>104</v>
      </c>
      <c r="H28" s="63" t="s">
        <v>157</v>
      </c>
      <c r="I28" s="64">
        <v>541</v>
      </c>
      <c r="J28" s="62">
        <v>541</v>
      </c>
      <c r="K28" s="62"/>
      <c r="L28" s="62" t="str">
        <f>IF(0.01*0=0," ",TEXT(,ROUND((0.01*0*1),0)))</f>
        <v xml:space="preserve"> </v>
      </c>
      <c r="M28" s="62"/>
      <c r="N28" s="62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6" t="s">
        <v>116</v>
      </c>
      <c r="AB28" s="66" t="s">
        <v>117</v>
      </c>
      <c r="AC28" s="66">
        <v>384</v>
      </c>
      <c r="AD28" s="66">
        <v>281</v>
      </c>
      <c r="AE28" s="66" t="s">
        <v>118</v>
      </c>
      <c r="AF28" s="67" t="s">
        <v>158</v>
      </c>
      <c r="AG28" s="66" t="s">
        <v>159</v>
      </c>
      <c r="AH28" s="66"/>
      <c r="AI28" s="66">
        <f>541+0</f>
        <v>541</v>
      </c>
    </row>
    <row r="29" spans="1:35" ht="148.19999999999999" x14ac:dyDescent="0.3">
      <c r="A29" s="58">
        <v>9</v>
      </c>
      <c r="B29" s="59" t="s">
        <v>160</v>
      </c>
      <c r="C29" s="60" t="str">
        <f t="shared" ca="1" si="0"/>
        <v xml:space="preserve">Демонтаж.Установка люков в перекрытиях, площадь проема до 2 м2
-----------------------------------------------------------------------
100 м2 проемов
-----------------------------------------------------------------------(МДС 81-36.2004 п.3.3.1. Демонтаж (разборка) сборных бетонных и железобетонных конструкций ОЗП=0,8; ЭМ=0,8 к расх.; ЗПМ=0,8; МАТ=0 к расх.; ТЗ=0,8; ТЗМ=0,8)
-----------------------------------------------------------------------301 руб. НР 90%=118%*(0.9*0.85) от ФОТ (334 руб.)
144 руб. СП 43%=63%*(0.85*0.8) от ФОТ (334 руб.)
</v>
      </c>
      <c r="D29" s="61">
        <v>0.02</v>
      </c>
      <c r="E29" s="62" t="s">
        <v>161</v>
      </c>
      <c r="F29" s="62" t="s">
        <v>162</v>
      </c>
      <c r="G29" s="62" t="s">
        <v>104</v>
      </c>
      <c r="H29" s="63" t="s">
        <v>163</v>
      </c>
      <c r="I29" s="64">
        <v>540</v>
      </c>
      <c r="J29" s="62">
        <v>302</v>
      </c>
      <c r="K29" s="62" t="s">
        <v>164</v>
      </c>
      <c r="L29" s="62" t="str">
        <f>IF(0.02*0=0," ",TEXT(,ROUND((0.02*0*5.87),0)))</f>
        <v xml:space="preserve"> </v>
      </c>
      <c r="M29" s="62"/>
      <c r="N29" s="62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 t="s">
        <v>165</v>
      </c>
      <c r="AB29" s="66" t="s">
        <v>166</v>
      </c>
      <c r="AC29" s="66">
        <v>301</v>
      </c>
      <c r="AD29" s="66">
        <v>144</v>
      </c>
      <c r="AE29" s="66" t="s">
        <v>167</v>
      </c>
      <c r="AF29" s="67" t="s">
        <v>168</v>
      </c>
      <c r="AG29" s="66" t="s">
        <v>169</v>
      </c>
      <c r="AH29" s="66"/>
      <c r="AI29" s="66">
        <f>302+32</f>
        <v>334</v>
      </c>
    </row>
    <row r="30" spans="1:35" ht="148.19999999999999" x14ac:dyDescent="0.3">
      <c r="A30" s="58">
        <v>10</v>
      </c>
      <c r="B30" s="59" t="s">
        <v>170</v>
      </c>
      <c r="C30" s="60" t="str">
        <f t="shared" ca="1" si="0"/>
        <v xml:space="preserve">Демонтаж.Установка стоек для радиотрансляционных сетей одинарных на напряжение: до 240 В (ТВ антенна)
-----------------------------------------------------------------------
1 стойка
-----------------------------------------------------------------------(МДС 81-37.2004 п.3.2.1. 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ТЗМ=0,3)
-----------------------------------------------------------------------233 руб. НР 77%=100%*(0.9*0.85) от ФОТ (302 руб.)
133 руб. СП 44%=65%*(0.85*0.8) от ФОТ (302 руб.)
</v>
      </c>
      <c r="D30" s="61">
        <v>1</v>
      </c>
      <c r="E30" s="62" t="s">
        <v>171</v>
      </c>
      <c r="F30" s="62"/>
      <c r="G30" s="62" t="s">
        <v>104</v>
      </c>
      <c r="H30" s="63" t="s">
        <v>172</v>
      </c>
      <c r="I30" s="64">
        <v>302</v>
      </c>
      <c r="J30" s="62">
        <v>302</v>
      </c>
      <c r="K30" s="62"/>
      <c r="L30" s="62" t="str">
        <f>IF(1*0=0," ",TEXT(,ROUND((1*0*8.04),0)))</f>
        <v xml:space="preserve"> </v>
      </c>
      <c r="M30" s="62"/>
      <c r="N30" s="62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6" t="s">
        <v>173</v>
      </c>
      <c r="AB30" s="66" t="s">
        <v>174</v>
      </c>
      <c r="AC30" s="66">
        <v>233</v>
      </c>
      <c r="AD30" s="66">
        <v>133</v>
      </c>
      <c r="AE30" s="66" t="s">
        <v>175</v>
      </c>
      <c r="AF30" s="67" t="s">
        <v>176</v>
      </c>
      <c r="AG30" s="66" t="s">
        <v>177</v>
      </c>
      <c r="AH30" s="66"/>
      <c r="AI30" s="66">
        <f>302+0</f>
        <v>302</v>
      </c>
    </row>
    <row r="31" spans="1:35" ht="91.2" x14ac:dyDescent="0.3">
      <c r="A31" s="58">
        <v>11</v>
      </c>
      <c r="B31" s="59" t="s">
        <v>178</v>
      </c>
      <c r="C31" s="60" t="str">
        <f t="shared" ca="1" si="0"/>
        <v xml:space="preserve">Разборка трубопроводов из чугунных канализационных труб диаметром: 100 мм
-----------------------------------------------------------------------
100 м трубопровода с фасонными частями
-----------------------------------------------------------------------180 руб. НР 63%=74%*0.85 от ФОТ (286 руб.)
114 руб. СП 40%=50%*0.8 от ФОТ (286 руб.)
</v>
      </c>
      <c r="D31" s="61">
        <v>2.5000000000000001E-2</v>
      </c>
      <c r="E31" s="62" t="s">
        <v>179</v>
      </c>
      <c r="F31" s="62" t="s">
        <v>180</v>
      </c>
      <c r="G31" s="62" t="s">
        <v>104</v>
      </c>
      <c r="H31" s="63" t="s">
        <v>181</v>
      </c>
      <c r="I31" s="64">
        <v>286</v>
      </c>
      <c r="J31" s="62">
        <v>286</v>
      </c>
      <c r="K31" s="62"/>
      <c r="L31" s="62" t="str">
        <f>IF(0.025*0=0," ",TEXT(,ROUND((0.025*0*1),0)))</f>
        <v xml:space="preserve"> </v>
      </c>
      <c r="M31" s="62" t="s">
        <v>182</v>
      </c>
      <c r="N31" s="62" t="s">
        <v>183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6" t="s">
        <v>184</v>
      </c>
      <c r="AB31" s="66" t="s">
        <v>152</v>
      </c>
      <c r="AC31" s="66">
        <v>180</v>
      </c>
      <c r="AD31" s="66">
        <v>114</v>
      </c>
      <c r="AE31" s="66"/>
      <c r="AF31" s="67" t="s">
        <v>185</v>
      </c>
      <c r="AG31" s="66" t="s">
        <v>186</v>
      </c>
      <c r="AH31" s="66"/>
      <c r="AI31" s="66">
        <f>286+0</f>
        <v>286</v>
      </c>
    </row>
    <row r="32" spans="1:35" ht="57" x14ac:dyDescent="0.3">
      <c r="A32" s="58">
        <v>12</v>
      </c>
      <c r="B32" s="59" t="s">
        <v>187</v>
      </c>
      <c r="C32" s="60" t="str">
        <f t="shared" ca="1" si="0"/>
        <v xml:space="preserve">Погрузочные работы при автомобильных перевозках: мусора строительного с погрузкой вручную
-----------------------------------------------------------------------
1 т груза
</v>
      </c>
      <c r="D32" s="61">
        <v>1</v>
      </c>
      <c r="E32" s="62">
        <v>42.98</v>
      </c>
      <c r="F32" s="62">
        <v>42.98</v>
      </c>
      <c r="G32" s="62" t="s">
        <v>104</v>
      </c>
      <c r="H32" s="63" t="s">
        <v>188</v>
      </c>
      <c r="I32" s="64">
        <v>462</v>
      </c>
      <c r="J32" s="62"/>
      <c r="K32" s="62">
        <v>462</v>
      </c>
      <c r="L32" s="62" t="str">
        <f>IF(1*0=0," ",TEXT(,ROUND((1*0*1),0)))</f>
        <v xml:space="preserve"> </v>
      </c>
      <c r="M32" s="62"/>
      <c r="N32" s="6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6" t="s">
        <v>189</v>
      </c>
      <c r="AB32" s="66" t="s">
        <v>190</v>
      </c>
      <c r="AC32" s="66"/>
      <c r="AD32" s="66"/>
      <c r="AE32" s="66"/>
      <c r="AF32" s="67" t="s">
        <v>191</v>
      </c>
      <c r="AG32" s="66" t="s">
        <v>192</v>
      </c>
      <c r="AH32" s="66"/>
      <c r="AI32" s="66">
        <f>0+0</f>
        <v>0</v>
      </c>
    </row>
    <row r="33" spans="1:35" ht="68.400000000000006" x14ac:dyDescent="0.3">
      <c r="A33" s="58">
        <v>13</v>
      </c>
      <c r="B33" s="59" t="s">
        <v>193</v>
      </c>
      <c r="C33" s="60" t="str">
        <f t="shared" ca="1" si="0"/>
        <v xml:space="preserve">Погрузочные работы при автомобильных перевозках: мусора строительного с погрузкой экскаваторами емкостью ковша до 0,5 м3
-----------------------------------------------------------------------
1 т груза
</v>
      </c>
      <c r="D33" s="61">
        <v>74.459999999999994</v>
      </c>
      <c r="E33" s="62">
        <v>3.28</v>
      </c>
      <c r="F33" s="62">
        <v>3.28</v>
      </c>
      <c r="G33" s="62" t="s">
        <v>104</v>
      </c>
      <c r="H33" s="63" t="s">
        <v>194</v>
      </c>
      <c r="I33" s="64">
        <v>2811</v>
      </c>
      <c r="J33" s="62"/>
      <c r="K33" s="62">
        <v>2811</v>
      </c>
      <c r="L33" s="62" t="str">
        <f>IF(74.46*0=0," ",TEXT(,ROUND((74.46*0*1),0)))</f>
        <v xml:space="preserve"> </v>
      </c>
      <c r="M33" s="62"/>
      <c r="N33" s="62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 t="s">
        <v>189</v>
      </c>
      <c r="AB33" s="66" t="s">
        <v>190</v>
      </c>
      <c r="AC33" s="66"/>
      <c r="AD33" s="66"/>
      <c r="AE33" s="66"/>
      <c r="AF33" s="67" t="s">
        <v>195</v>
      </c>
      <c r="AG33" s="66" t="s">
        <v>192</v>
      </c>
      <c r="AH33" s="66"/>
      <c r="AI33" s="66">
        <f>0+0</f>
        <v>0</v>
      </c>
    </row>
    <row r="34" spans="1:35" ht="68.400000000000006" x14ac:dyDescent="0.3">
      <c r="A34" s="68">
        <v>14</v>
      </c>
      <c r="B34" s="69" t="s">
        <v>196</v>
      </c>
      <c r="C34" s="70" t="str">
        <f t="shared" ca="1" si="0"/>
        <v xml:space="preserve">Перевозка грузов автомобилями-самосвалами грузоподъемностью 10 т, работающих вне карьера, на расстояние: до 25 км
-----------------------------------------------------------------------
1 т груза
</v>
      </c>
      <c r="D34" s="71">
        <v>75.459999999999994</v>
      </c>
      <c r="E34" s="72">
        <v>17.32</v>
      </c>
      <c r="F34" s="72">
        <v>17.32</v>
      </c>
      <c r="G34" s="72" t="s">
        <v>104</v>
      </c>
      <c r="H34" s="73" t="s">
        <v>197</v>
      </c>
      <c r="I34" s="74">
        <v>12835</v>
      </c>
      <c r="J34" s="72"/>
      <c r="K34" s="72">
        <v>12835</v>
      </c>
      <c r="L34" s="72" t="str">
        <f>IF(75.46*0=0," ",TEXT(,ROUND((75.46*0*1),0)))</f>
        <v xml:space="preserve"> </v>
      </c>
      <c r="M34" s="72"/>
      <c r="N34" s="72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6" t="s">
        <v>189</v>
      </c>
      <c r="AB34" s="66" t="s">
        <v>190</v>
      </c>
      <c r="AC34" s="66"/>
      <c r="AD34" s="66"/>
      <c r="AE34" s="66"/>
      <c r="AF34" s="67" t="s">
        <v>198</v>
      </c>
      <c r="AG34" s="66" t="s">
        <v>192</v>
      </c>
      <c r="AH34" s="66"/>
      <c r="AI34" s="66">
        <f>0+0</f>
        <v>0</v>
      </c>
    </row>
    <row r="35" spans="1:35" ht="34.200000000000003" x14ac:dyDescent="0.3">
      <c r="A35" s="90" t="s">
        <v>199</v>
      </c>
      <c r="B35" s="91"/>
      <c r="C35" s="91"/>
      <c r="D35" s="91"/>
      <c r="E35" s="91"/>
      <c r="F35" s="91"/>
      <c r="G35" s="91"/>
      <c r="H35" s="91"/>
      <c r="I35" s="64">
        <v>7219</v>
      </c>
      <c r="J35" s="62">
        <v>4732</v>
      </c>
      <c r="K35" s="62" t="s">
        <v>200</v>
      </c>
      <c r="L35" s="62"/>
      <c r="M35" s="62"/>
      <c r="N35" s="62" t="s">
        <v>201</v>
      </c>
      <c r="O35" s="9"/>
      <c r="P35" s="10"/>
      <c r="Q35" s="9"/>
      <c r="R35" s="9"/>
      <c r="S35" s="9"/>
      <c r="T35" s="9"/>
      <c r="U35" s="9"/>
      <c r="V35" s="9"/>
      <c r="W35" s="9"/>
      <c r="X35" s="9"/>
      <c r="Y35" s="9"/>
      <c r="Z35" s="9"/>
      <c r="AF35" s="11"/>
    </row>
    <row r="36" spans="1:35" ht="34.200000000000003" x14ac:dyDescent="0.3">
      <c r="A36" s="90" t="s">
        <v>202</v>
      </c>
      <c r="B36" s="91"/>
      <c r="C36" s="91"/>
      <c r="D36" s="91"/>
      <c r="E36" s="91"/>
      <c r="F36" s="91"/>
      <c r="G36" s="91"/>
      <c r="H36" s="91"/>
      <c r="I36" s="64">
        <v>99721</v>
      </c>
      <c r="J36" s="62">
        <v>75240</v>
      </c>
      <c r="K36" s="62" t="s">
        <v>203</v>
      </c>
      <c r="L36" s="62"/>
      <c r="M36" s="62"/>
      <c r="N36" s="62" t="s">
        <v>201</v>
      </c>
      <c r="O36" s="9"/>
      <c r="P36" s="10"/>
      <c r="Q36" s="9"/>
      <c r="R36" s="9"/>
      <c r="S36" s="9"/>
      <c r="T36" s="9"/>
      <c r="U36" s="9"/>
      <c r="V36" s="9"/>
      <c r="W36" s="9"/>
      <c r="X36" s="9"/>
      <c r="Y36" s="9"/>
      <c r="Z36" s="9"/>
      <c r="AF36" s="11"/>
    </row>
    <row r="37" spans="1:35" x14ac:dyDescent="0.25">
      <c r="A37" s="90" t="s">
        <v>204</v>
      </c>
      <c r="B37" s="91"/>
      <c r="C37" s="91"/>
      <c r="D37" s="91"/>
      <c r="E37" s="91"/>
      <c r="F37" s="91"/>
      <c r="G37" s="91"/>
      <c r="H37" s="91"/>
      <c r="I37" s="64">
        <v>55653</v>
      </c>
      <c r="J37" s="62"/>
      <c r="K37" s="62"/>
      <c r="L37" s="62"/>
      <c r="M37" s="62"/>
      <c r="N37" s="62"/>
      <c r="O37" s="9"/>
      <c r="P37" s="10"/>
      <c r="Q37" s="9"/>
      <c r="R37" s="9"/>
      <c r="S37" s="9"/>
      <c r="T37" s="7"/>
      <c r="U37" s="7"/>
      <c r="V37" s="7"/>
      <c r="W37" s="7"/>
      <c r="X37" s="7"/>
      <c r="Y37" s="7"/>
      <c r="Z37" s="7"/>
    </row>
    <row r="38" spans="1:35" x14ac:dyDescent="0.25">
      <c r="A38" s="90" t="s">
        <v>205</v>
      </c>
      <c r="B38" s="91"/>
      <c r="C38" s="91"/>
      <c r="D38" s="91"/>
      <c r="E38" s="91"/>
      <c r="F38" s="91"/>
      <c r="G38" s="91"/>
      <c r="H38" s="91"/>
      <c r="I38" s="64">
        <v>37089</v>
      </c>
      <c r="J38" s="62"/>
      <c r="K38" s="62"/>
      <c r="L38" s="62"/>
      <c r="M38" s="62"/>
      <c r="N38" s="62"/>
      <c r="O38" s="9"/>
      <c r="P38" s="10"/>
      <c r="Q38" s="9"/>
      <c r="R38" s="9"/>
      <c r="S38" s="9"/>
    </row>
    <row r="39" spans="1:35" x14ac:dyDescent="0.25">
      <c r="A39" s="93" t="s">
        <v>206</v>
      </c>
      <c r="B39" s="94"/>
      <c r="C39" s="94"/>
      <c r="D39" s="94"/>
      <c r="E39" s="94"/>
      <c r="F39" s="94"/>
      <c r="G39" s="94"/>
      <c r="H39" s="94"/>
      <c r="I39" s="75"/>
      <c r="J39" s="76"/>
      <c r="K39" s="76"/>
      <c r="L39" s="76"/>
      <c r="M39" s="76"/>
      <c r="N39" s="76"/>
      <c r="O39" s="9"/>
      <c r="P39" s="10"/>
      <c r="Q39" s="9"/>
      <c r="R39" s="9"/>
      <c r="S39" s="9"/>
    </row>
    <row r="40" spans="1:35" ht="37.950000000000003" customHeight="1" x14ac:dyDescent="0.25">
      <c r="A40" s="90" t="s">
        <v>207</v>
      </c>
      <c r="B40" s="91"/>
      <c r="C40" s="91"/>
      <c r="D40" s="91"/>
      <c r="E40" s="91"/>
      <c r="F40" s="91"/>
      <c r="G40" s="91"/>
      <c r="H40" s="91"/>
      <c r="I40" s="64">
        <v>36904</v>
      </c>
      <c r="J40" s="62"/>
      <c r="K40" s="62"/>
      <c r="L40" s="62"/>
      <c r="M40" s="62"/>
      <c r="N40" s="62" t="s">
        <v>208</v>
      </c>
      <c r="O40" s="9"/>
      <c r="P40" s="10"/>
      <c r="Q40" s="9"/>
      <c r="R40" s="9"/>
      <c r="S40" s="9"/>
    </row>
    <row r="41" spans="1:35" x14ac:dyDescent="0.25">
      <c r="A41" s="90" t="s">
        <v>209</v>
      </c>
      <c r="B41" s="91"/>
      <c r="C41" s="91"/>
      <c r="D41" s="91"/>
      <c r="E41" s="91"/>
      <c r="F41" s="91"/>
      <c r="G41" s="91"/>
      <c r="H41" s="91"/>
      <c r="I41" s="64">
        <v>93742</v>
      </c>
      <c r="J41" s="62"/>
      <c r="K41" s="62"/>
      <c r="L41" s="62"/>
      <c r="M41" s="62"/>
      <c r="N41" s="62"/>
      <c r="O41" s="9"/>
      <c r="P41" s="10"/>
      <c r="Q41" s="9"/>
      <c r="R41" s="9"/>
      <c r="S41" s="9"/>
    </row>
    <row r="42" spans="1:35" x14ac:dyDescent="0.25">
      <c r="A42" s="90" t="s">
        <v>210</v>
      </c>
      <c r="B42" s="91"/>
      <c r="C42" s="91"/>
      <c r="D42" s="91"/>
      <c r="E42" s="91"/>
      <c r="F42" s="91"/>
      <c r="G42" s="91"/>
      <c r="H42" s="91"/>
      <c r="I42" s="64">
        <v>6758</v>
      </c>
      <c r="J42" s="62"/>
      <c r="K42" s="62"/>
      <c r="L42" s="62"/>
      <c r="M42" s="62"/>
      <c r="N42" s="62"/>
      <c r="O42" s="9"/>
      <c r="P42" s="10"/>
      <c r="Q42" s="9"/>
      <c r="R42" s="9"/>
      <c r="S42" s="9"/>
    </row>
    <row r="43" spans="1:35" x14ac:dyDescent="0.25">
      <c r="A43" s="90" t="s">
        <v>211</v>
      </c>
      <c r="B43" s="91"/>
      <c r="C43" s="91"/>
      <c r="D43" s="91"/>
      <c r="E43" s="91"/>
      <c r="F43" s="91"/>
      <c r="G43" s="91"/>
      <c r="H43" s="91"/>
      <c r="I43" s="64">
        <v>36718</v>
      </c>
      <c r="J43" s="62"/>
      <c r="K43" s="62"/>
      <c r="L43" s="62"/>
      <c r="M43" s="62"/>
      <c r="N43" s="62"/>
      <c r="O43" s="9"/>
      <c r="P43" s="10"/>
      <c r="Q43" s="9"/>
      <c r="R43" s="9"/>
      <c r="S43" s="9"/>
    </row>
    <row r="44" spans="1:35" x14ac:dyDescent="0.25">
      <c r="A44" s="90" t="s">
        <v>212</v>
      </c>
      <c r="B44" s="91"/>
      <c r="C44" s="91"/>
      <c r="D44" s="91"/>
      <c r="E44" s="91"/>
      <c r="F44" s="91"/>
      <c r="G44" s="91"/>
      <c r="H44" s="91"/>
      <c r="I44" s="64">
        <v>985</v>
      </c>
      <c r="J44" s="62"/>
      <c r="K44" s="62"/>
      <c r="L44" s="62"/>
      <c r="M44" s="62"/>
      <c r="N44" s="62"/>
      <c r="O44" s="9"/>
      <c r="P44" s="10"/>
      <c r="Q44" s="9"/>
      <c r="R44" s="9"/>
      <c r="S44" s="9"/>
    </row>
    <row r="45" spans="1:35" x14ac:dyDescent="0.25">
      <c r="A45" s="90" t="s">
        <v>213</v>
      </c>
      <c r="B45" s="91"/>
      <c r="C45" s="91"/>
      <c r="D45" s="91"/>
      <c r="E45" s="91"/>
      <c r="F45" s="91"/>
      <c r="G45" s="91"/>
      <c r="H45" s="91"/>
      <c r="I45" s="64">
        <v>668</v>
      </c>
      <c r="J45" s="62"/>
      <c r="K45" s="62"/>
      <c r="L45" s="62"/>
      <c r="M45" s="62"/>
      <c r="N45" s="62"/>
      <c r="O45" s="9"/>
      <c r="P45" s="10"/>
      <c r="Q45" s="9"/>
      <c r="R45" s="9"/>
      <c r="S45" s="9"/>
    </row>
    <row r="46" spans="1:35" ht="37.950000000000003" customHeight="1" x14ac:dyDescent="0.25">
      <c r="A46" s="90" t="s">
        <v>214</v>
      </c>
      <c r="B46" s="91"/>
      <c r="C46" s="91"/>
      <c r="D46" s="91"/>
      <c r="E46" s="91"/>
      <c r="F46" s="91"/>
      <c r="G46" s="91"/>
      <c r="H46" s="91"/>
      <c r="I46" s="64">
        <v>580</v>
      </c>
      <c r="J46" s="62"/>
      <c r="K46" s="62"/>
      <c r="L46" s="62"/>
      <c r="M46" s="62"/>
      <c r="N46" s="62" t="s">
        <v>215</v>
      </c>
      <c r="O46" s="9"/>
      <c r="P46" s="10"/>
      <c r="Q46" s="9"/>
      <c r="R46" s="9"/>
      <c r="S46" s="9"/>
    </row>
    <row r="47" spans="1:35" x14ac:dyDescent="0.25">
      <c r="A47" s="90" t="s">
        <v>216</v>
      </c>
      <c r="B47" s="91"/>
      <c r="C47" s="91"/>
      <c r="D47" s="91"/>
      <c r="E47" s="91"/>
      <c r="F47" s="91"/>
      <c r="G47" s="91"/>
      <c r="H47" s="91"/>
      <c r="I47" s="64">
        <v>16108</v>
      </c>
      <c r="J47" s="62"/>
      <c r="K47" s="62"/>
      <c r="L47" s="62"/>
      <c r="M47" s="62"/>
      <c r="N47" s="62"/>
      <c r="O47" s="9"/>
      <c r="P47" s="10"/>
      <c r="Q47" s="9"/>
      <c r="R47" s="9"/>
      <c r="S47" s="9"/>
    </row>
    <row r="48" spans="1:35" ht="34.200000000000003" x14ac:dyDescent="0.25">
      <c r="A48" s="90" t="s">
        <v>217</v>
      </c>
      <c r="B48" s="91"/>
      <c r="C48" s="91"/>
      <c r="D48" s="91"/>
      <c r="E48" s="91"/>
      <c r="F48" s="91"/>
      <c r="G48" s="91"/>
      <c r="H48" s="91"/>
      <c r="I48" s="64">
        <v>192463</v>
      </c>
      <c r="J48" s="62"/>
      <c r="K48" s="62"/>
      <c r="L48" s="62"/>
      <c r="M48" s="62"/>
      <c r="N48" s="62" t="s">
        <v>201</v>
      </c>
      <c r="O48" s="9"/>
      <c r="P48" s="10"/>
      <c r="Q48" s="9"/>
      <c r="R48" s="9"/>
      <c r="S48" s="9"/>
    </row>
    <row r="49" spans="1:35" x14ac:dyDescent="0.25">
      <c r="A49" s="90" t="s">
        <v>218</v>
      </c>
      <c r="B49" s="91"/>
      <c r="C49" s="91"/>
      <c r="D49" s="91"/>
      <c r="E49" s="91"/>
      <c r="F49" s="91"/>
      <c r="G49" s="91"/>
      <c r="H49" s="91"/>
      <c r="I49" s="64"/>
      <c r="J49" s="62"/>
      <c r="K49" s="62"/>
      <c r="L49" s="62"/>
      <c r="M49" s="62"/>
      <c r="N49" s="62"/>
      <c r="O49" s="9"/>
      <c r="P49" s="10"/>
      <c r="Q49" s="9"/>
      <c r="R49" s="9"/>
      <c r="S49" s="9"/>
    </row>
    <row r="50" spans="1:35" x14ac:dyDescent="0.25">
      <c r="A50" s="90" t="s">
        <v>219</v>
      </c>
      <c r="B50" s="91"/>
      <c r="C50" s="91"/>
      <c r="D50" s="91"/>
      <c r="E50" s="91"/>
      <c r="F50" s="91"/>
      <c r="G50" s="91"/>
      <c r="H50" s="91"/>
      <c r="I50" s="64">
        <v>24481</v>
      </c>
      <c r="J50" s="62"/>
      <c r="K50" s="62"/>
      <c r="L50" s="62"/>
      <c r="M50" s="62"/>
      <c r="N50" s="62"/>
      <c r="O50" s="9"/>
      <c r="P50" s="10"/>
      <c r="Q50" s="9"/>
      <c r="R50" s="9"/>
      <c r="S50" s="9"/>
    </row>
    <row r="51" spans="1:35" x14ac:dyDescent="0.25">
      <c r="A51" s="90" t="s">
        <v>220</v>
      </c>
      <c r="B51" s="91"/>
      <c r="C51" s="91"/>
      <c r="D51" s="91"/>
      <c r="E51" s="91"/>
      <c r="F51" s="91"/>
      <c r="G51" s="91"/>
      <c r="H51" s="91"/>
      <c r="I51" s="64">
        <v>76926</v>
      </c>
      <c r="J51" s="62"/>
      <c r="K51" s="62"/>
      <c r="L51" s="62"/>
      <c r="M51" s="62"/>
      <c r="N51" s="62"/>
      <c r="O51" s="9"/>
      <c r="P51" s="10"/>
      <c r="Q51" s="9"/>
      <c r="R51" s="9"/>
      <c r="S51" s="9"/>
    </row>
    <row r="52" spans="1:35" x14ac:dyDescent="0.25">
      <c r="A52" s="90" t="s">
        <v>221</v>
      </c>
      <c r="B52" s="91"/>
      <c r="C52" s="91"/>
      <c r="D52" s="91"/>
      <c r="E52" s="91"/>
      <c r="F52" s="91"/>
      <c r="G52" s="91"/>
      <c r="H52" s="91"/>
      <c r="I52" s="64">
        <v>55653</v>
      </c>
      <c r="J52" s="62"/>
      <c r="K52" s="62"/>
      <c r="L52" s="62"/>
      <c r="M52" s="62"/>
      <c r="N52" s="62"/>
      <c r="O52" s="9"/>
      <c r="P52" s="10"/>
      <c r="Q52" s="9"/>
      <c r="R52" s="9"/>
      <c r="S52" s="9"/>
    </row>
    <row r="53" spans="1:35" x14ac:dyDescent="0.25">
      <c r="A53" s="90" t="s">
        <v>222</v>
      </c>
      <c r="B53" s="91"/>
      <c r="C53" s="91"/>
      <c r="D53" s="91"/>
      <c r="E53" s="91"/>
      <c r="F53" s="91"/>
      <c r="G53" s="91"/>
      <c r="H53" s="91"/>
      <c r="I53" s="64">
        <v>37089</v>
      </c>
      <c r="J53" s="62"/>
      <c r="K53" s="62"/>
      <c r="L53" s="62"/>
      <c r="M53" s="62"/>
      <c r="N53" s="62"/>
      <c r="O53" s="9"/>
      <c r="P53" s="10"/>
      <c r="Q53" s="9"/>
      <c r="R53" s="9"/>
      <c r="S53" s="9"/>
    </row>
    <row r="54" spans="1:35" ht="34.200000000000003" x14ac:dyDescent="0.25">
      <c r="A54" s="111" t="s">
        <v>223</v>
      </c>
      <c r="B54" s="112"/>
      <c r="C54" s="112"/>
      <c r="D54" s="112"/>
      <c r="E54" s="112"/>
      <c r="F54" s="112"/>
      <c r="G54" s="112"/>
      <c r="H54" s="112"/>
      <c r="I54" s="77">
        <v>192463</v>
      </c>
      <c r="J54" s="78"/>
      <c r="K54" s="78"/>
      <c r="L54" s="78"/>
      <c r="M54" s="78"/>
      <c r="N54" s="78" t="s">
        <v>201</v>
      </c>
      <c r="O54" s="9"/>
      <c r="P54" s="10"/>
      <c r="Q54" s="9"/>
      <c r="R54" s="9"/>
      <c r="S54" s="9"/>
    </row>
    <row r="55" spans="1:35" ht="18.45" customHeight="1" x14ac:dyDescent="0.25">
      <c r="A55" s="93" t="s">
        <v>224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</row>
    <row r="56" spans="1:35" ht="148.19999999999999" x14ac:dyDescent="0.25">
      <c r="A56" s="58">
        <v>15</v>
      </c>
      <c r="B56" s="59" t="s">
        <v>225</v>
      </c>
      <c r="C56" s="60" t="str">
        <f t="shared" ref="C56:C74" ca="1" si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Кладка из кирпича: столбов прямоугольных неармированных при высоте этажа до 4 м
-----------------------------------------------------------------------
1 м3 кладки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-----------------------------------------------------------------------3992 руб. НР 93%=122%*(0.9*0.85) от ФОТ (4293 руб.)
2318 руб. СП 54%=80%*(0.85*0.8) от ФОТ (4293 руб.)
</v>
      </c>
      <c r="D56" s="61">
        <v>2.9</v>
      </c>
      <c r="E56" s="62" t="s">
        <v>226</v>
      </c>
      <c r="F56" s="62" t="s">
        <v>227</v>
      </c>
      <c r="G56" s="62" t="s">
        <v>228</v>
      </c>
      <c r="H56" s="63" t="s">
        <v>229</v>
      </c>
      <c r="I56" s="64">
        <v>16585</v>
      </c>
      <c r="J56" s="62">
        <v>3959</v>
      </c>
      <c r="K56" s="62" t="s">
        <v>230</v>
      </c>
      <c r="L56" s="62" t="str">
        <f>IF(2.9*822.65=0," ",TEXT(,ROUND((2.9*822.65*4.63),0)))</f>
        <v>11046</v>
      </c>
      <c r="M56" s="62"/>
      <c r="N56" s="62"/>
      <c r="O56" s="65"/>
      <c r="P56" s="65"/>
      <c r="Q56" s="65"/>
      <c r="R56" s="65"/>
      <c r="S56" s="65"/>
      <c r="T56" s="66"/>
      <c r="U56" s="66"/>
      <c r="V56" s="66"/>
      <c r="W56" s="66"/>
      <c r="X56" s="66"/>
      <c r="Y56" s="66"/>
      <c r="Z56" s="66"/>
      <c r="AA56" s="66" t="s">
        <v>231</v>
      </c>
      <c r="AB56" s="66" t="s">
        <v>232</v>
      </c>
      <c r="AC56" s="66">
        <v>3992</v>
      </c>
      <c r="AD56" s="66">
        <v>2318</v>
      </c>
      <c r="AE56" s="66" t="s">
        <v>233</v>
      </c>
      <c r="AF56" s="66" t="s">
        <v>234</v>
      </c>
      <c r="AG56" s="66" t="s">
        <v>235</v>
      </c>
      <c r="AH56" s="66"/>
      <c r="AI56" s="66">
        <f>3959+334</f>
        <v>4293</v>
      </c>
    </row>
    <row r="57" spans="1:35" ht="91.2" x14ac:dyDescent="0.25">
      <c r="A57" s="58">
        <v>16</v>
      </c>
      <c r="B57" s="59" t="s">
        <v>236</v>
      </c>
      <c r="C57" s="60" t="str">
        <f t="shared" ca="1" si="1"/>
        <v xml:space="preserve">Устройство покрытия из рулонных материалов: насухо без промазки кромок
-----------------------------------------------------------------------
100 м2 кровли
-----------------------------------------------------------------------2122 руб. НР 71%=83%*0.85 от ФОТ (2989 руб.)
1554 руб. СП 52%=65%*0.8 от ФОТ (2989 руб.)
</v>
      </c>
      <c r="D57" s="61">
        <v>5.1790000000000003</v>
      </c>
      <c r="E57" s="62" t="s">
        <v>237</v>
      </c>
      <c r="F57" s="62">
        <v>5.23</v>
      </c>
      <c r="G57" s="62" t="s">
        <v>238</v>
      </c>
      <c r="H57" s="63" t="s">
        <v>239</v>
      </c>
      <c r="I57" s="64">
        <v>27138</v>
      </c>
      <c r="J57" s="62">
        <v>2989</v>
      </c>
      <c r="K57" s="62">
        <v>313</v>
      </c>
      <c r="L57" s="62" t="str">
        <f>IF(5.179*883.33=0," ",TEXT(,ROUND((5.179*883.33*5.21),0)))</f>
        <v>23835</v>
      </c>
      <c r="M57" s="62">
        <v>4.5199999999999996</v>
      </c>
      <c r="N57" s="62">
        <v>23.41</v>
      </c>
      <c r="O57" s="65"/>
      <c r="P57" s="65"/>
      <c r="Q57" s="65"/>
      <c r="R57" s="65"/>
      <c r="S57" s="65"/>
      <c r="T57" s="66"/>
      <c r="U57" s="66"/>
      <c r="V57" s="66"/>
      <c r="W57" s="66"/>
      <c r="X57" s="66"/>
      <c r="Y57" s="66"/>
      <c r="Z57" s="66"/>
      <c r="AA57" s="66" t="s">
        <v>116</v>
      </c>
      <c r="AB57" s="66" t="s">
        <v>117</v>
      </c>
      <c r="AC57" s="66">
        <v>2122</v>
      </c>
      <c r="AD57" s="66">
        <v>1554</v>
      </c>
      <c r="AE57" s="66"/>
      <c r="AF57" s="66" t="s">
        <v>240</v>
      </c>
      <c r="AG57" s="66" t="s">
        <v>120</v>
      </c>
      <c r="AH57" s="66"/>
      <c r="AI57" s="66">
        <f>2989+0</f>
        <v>2989</v>
      </c>
    </row>
    <row r="58" spans="1:35" ht="57" x14ac:dyDescent="0.25">
      <c r="A58" s="58">
        <v>17</v>
      </c>
      <c r="B58" s="59" t="s">
        <v>241</v>
      </c>
      <c r="C58" s="60" t="str">
        <f t="shared" ca="1" si="1"/>
        <v xml:space="preserve">Рубероид кровельный с крупнозернистой посыпкой марки РКК-350б
-----------------------------------------------------------------------
м2
</v>
      </c>
      <c r="D58" s="61">
        <v>-595.6</v>
      </c>
      <c r="E58" s="62">
        <v>7.46</v>
      </c>
      <c r="F58" s="62"/>
      <c r="G58" s="62" t="s">
        <v>242</v>
      </c>
      <c r="H58" s="63" t="s">
        <v>243</v>
      </c>
      <c r="I58" s="64">
        <v>-23259</v>
      </c>
      <c r="J58" s="62"/>
      <c r="K58" s="62"/>
      <c r="L58" s="62" t="str">
        <f>IF(-595.6*7.46=0," ",TEXT(,ROUND((-595.6*7.46*5.235),0)))</f>
        <v>-23260</v>
      </c>
      <c r="M58" s="62"/>
      <c r="N58" s="62"/>
      <c r="O58" s="65"/>
      <c r="P58" s="65"/>
      <c r="Q58" s="65"/>
      <c r="R58" s="65"/>
      <c r="S58" s="65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 t="s">
        <v>244</v>
      </c>
      <c r="AG58" s="66" t="s">
        <v>245</v>
      </c>
      <c r="AH58" s="66"/>
      <c r="AI58" s="66">
        <f>0+0</f>
        <v>0</v>
      </c>
    </row>
    <row r="59" spans="1:35" ht="52.8" x14ac:dyDescent="0.25">
      <c r="A59" s="58">
        <v>18</v>
      </c>
      <c r="B59" s="59" t="s">
        <v>246</v>
      </c>
      <c r="C59" s="60" t="str">
        <f t="shared" ca="1" si="1"/>
        <v xml:space="preserve">ИЗОСПАН В
-----------------------------------------------------------------------
10м2
</v>
      </c>
      <c r="D59" s="61">
        <v>59.56</v>
      </c>
      <c r="E59" s="62">
        <v>27.5</v>
      </c>
      <c r="F59" s="62"/>
      <c r="G59" s="62" t="s">
        <v>247</v>
      </c>
      <c r="H59" s="63" t="s">
        <v>248</v>
      </c>
      <c r="I59" s="64">
        <v>9564</v>
      </c>
      <c r="J59" s="62"/>
      <c r="K59" s="62"/>
      <c r="L59" s="62" t="str">
        <f>IF(59.56*27.5=0," ",TEXT(,ROUND((59.56*27.5*5.839),0)))</f>
        <v>9564</v>
      </c>
      <c r="M59" s="62"/>
      <c r="N59" s="62"/>
      <c r="O59" s="65"/>
      <c r="P59" s="65"/>
      <c r="Q59" s="65"/>
      <c r="R59" s="65"/>
      <c r="S59" s="65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 t="s">
        <v>249</v>
      </c>
      <c r="AG59" s="66" t="s">
        <v>250</v>
      </c>
      <c r="AH59" s="66"/>
      <c r="AI59" s="66">
        <f>0+0</f>
        <v>0</v>
      </c>
    </row>
    <row r="60" spans="1:35" ht="159.6" x14ac:dyDescent="0.25">
      <c r="A60" s="58">
        <v>19</v>
      </c>
      <c r="B60" s="59" t="s">
        <v>251</v>
      </c>
      <c r="C60" s="60" t="str">
        <f t="shared" ca="1" si="1"/>
        <v xml:space="preserve">Утепление покрытий плитами: из минеральной ваты или перлита на битумной мастике в один слой
-----------------------------------------------------------------------
100 м2 утепляемого покрытия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-----------------------------------------------------------------------31391 руб. НР 92%=120%*(0.9*0.85) от ФОТ (34121 руб.)
15013 руб. СП 44%=65%*(0.85*0.8) от ФОТ (34121 руб.)
</v>
      </c>
      <c r="D60" s="61">
        <v>4.2300000000000004</v>
      </c>
      <c r="E60" s="62" t="s">
        <v>252</v>
      </c>
      <c r="F60" s="62" t="s">
        <v>253</v>
      </c>
      <c r="G60" s="62" t="s">
        <v>104</v>
      </c>
      <c r="H60" s="63" t="s">
        <v>254</v>
      </c>
      <c r="I60" s="64">
        <v>39974</v>
      </c>
      <c r="J60" s="62">
        <v>33501</v>
      </c>
      <c r="K60" s="62" t="s">
        <v>255</v>
      </c>
      <c r="L60" s="62" t="str">
        <f>IF(4.23*0=0," ",TEXT(,ROUND((4.23*0*7),0)))</f>
        <v xml:space="preserve"> </v>
      </c>
      <c r="M60" s="62" t="s">
        <v>256</v>
      </c>
      <c r="N60" s="62" t="s">
        <v>257</v>
      </c>
      <c r="O60" s="65"/>
      <c r="P60" s="65"/>
      <c r="Q60" s="65"/>
      <c r="R60" s="65"/>
      <c r="S60" s="65"/>
      <c r="T60" s="66"/>
      <c r="U60" s="66"/>
      <c r="V60" s="66"/>
      <c r="W60" s="66"/>
      <c r="X60" s="66"/>
      <c r="Y60" s="66"/>
      <c r="Z60" s="66"/>
      <c r="AA60" s="66" t="s">
        <v>258</v>
      </c>
      <c r="AB60" s="66" t="s">
        <v>174</v>
      </c>
      <c r="AC60" s="66">
        <v>31391</v>
      </c>
      <c r="AD60" s="66">
        <v>15013</v>
      </c>
      <c r="AE60" s="66" t="s">
        <v>233</v>
      </c>
      <c r="AF60" s="66" t="s">
        <v>259</v>
      </c>
      <c r="AG60" s="66" t="s">
        <v>260</v>
      </c>
      <c r="AH60" s="66"/>
      <c r="AI60" s="66">
        <f>33501+620</f>
        <v>34121</v>
      </c>
    </row>
    <row r="61" spans="1:35" ht="52.8" x14ac:dyDescent="0.25">
      <c r="A61" s="58">
        <v>20</v>
      </c>
      <c r="B61" s="59" t="s">
        <v>261</v>
      </c>
      <c r="C61" s="60" t="str">
        <f t="shared" ca="1" si="1"/>
        <v xml:space="preserve">Котлы битумные передвижные 400 л
-----------------------------------------------------------------------
маш.-ч
</v>
      </c>
      <c r="D61" s="61">
        <v>-9.73</v>
      </c>
      <c r="E61" s="62">
        <v>30</v>
      </c>
      <c r="F61" s="62">
        <v>30</v>
      </c>
      <c r="G61" s="62" t="s">
        <v>104</v>
      </c>
      <c r="H61" s="63" t="s">
        <v>262</v>
      </c>
      <c r="I61" s="64">
        <v>-1672</v>
      </c>
      <c r="J61" s="62"/>
      <c r="K61" s="62">
        <v>-1672</v>
      </c>
      <c r="L61" s="62" t="str">
        <f>IF(-9.73*0=0," ",TEXT(,ROUND((-9.73*0*1),0)))</f>
        <v xml:space="preserve"> </v>
      </c>
      <c r="M61" s="62"/>
      <c r="N61" s="62"/>
      <c r="O61" s="65"/>
      <c r="P61" s="65"/>
      <c r="Q61" s="65"/>
      <c r="R61" s="65"/>
      <c r="S61" s="65"/>
      <c r="T61" s="66"/>
      <c r="U61" s="66"/>
      <c r="V61" s="66"/>
      <c r="W61" s="66"/>
      <c r="X61" s="66"/>
      <c r="Y61" s="66"/>
      <c r="Z61" s="66"/>
      <c r="AA61" s="66" t="s">
        <v>258</v>
      </c>
      <c r="AB61" s="66" t="s">
        <v>174</v>
      </c>
      <c r="AC61" s="66"/>
      <c r="AD61" s="66"/>
      <c r="AE61" s="66"/>
      <c r="AF61" s="66" t="s">
        <v>263</v>
      </c>
      <c r="AG61" s="66" t="s">
        <v>264</v>
      </c>
      <c r="AH61" s="66"/>
      <c r="AI61" s="66">
        <f>0+0</f>
        <v>0</v>
      </c>
    </row>
    <row r="62" spans="1:35" ht="182.4" x14ac:dyDescent="0.25">
      <c r="A62" s="58">
        <v>21</v>
      </c>
      <c r="B62" s="59" t="s">
        <v>265</v>
      </c>
      <c r="C62" s="60" t="str">
        <f t="shared" ca="1" si="1"/>
        <v xml:space="preserve">Утепление покрытий плитами: на каждый последующий слой добавлять к расценке 12-01-013-03  к=3
-----------------------------------------------------------------------
100 м2 утепляемого покрытия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к=3  ПЗ=3 (ОЗП=3; ЭМ=3 к расх.; ЗПМ=3; МАТ=3 к расх.; ТЗ=3; ТЗМ=3))
-----------------------------------------------------------------------73316 руб. НР 92%=120%*(0.9*0.85) от ФОТ (79691 руб.)
35064 руб. СП 44%=65%*(0.85*0.8) от ФОТ (79691 руб.)
</v>
      </c>
      <c r="D62" s="61">
        <v>4.2300000000000004</v>
      </c>
      <c r="E62" s="62" t="s">
        <v>266</v>
      </c>
      <c r="F62" s="62" t="s">
        <v>267</v>
      </c>
      <c r="G62" s="62" t="s">
        <v>104</v>
      </c>
      <c r="H62" s="63" t="s">
        <v>254</v>
      </c>
      <c r="I62" s="64">
        <v>96400</v>
      </c>
      <c r="J62" s="62">
        <v>77815</v>
      </c>
      <c r="K62" s="62" t="s">
        <v>268</v>
      </c>
      <c r="L62" s="62" t="str">
        <f>IF(4.23*0=0," ",TEXT(,ROUND((4.23*0*7),0)))</f>
        <v xml:space="preserve"> </v>
      </c>
      <c r="M62" s="62" t="s">
        <v>269</v>
      </c>
      <c r="N62" s="62" t="s">
        <v>270</v>
      </c>
      <c r="O62" s="65"/>
      <c r="P62" s="65"/>
      <c r="Q62" s="65"/>
      <c r="R62" s="65"/>
      <c r="S62" s="65"/>
      <c r="T62" s="66"/>
      <c r="U62" s="66"/>
      <c r="V62" s="66"/>
      <c r="W62" s="66"/>
      <c r="X62" s="66"/>
      <c r="Y62" s="66"/>
      <c r="Z62" s="66"/>
      <c r="AA62" s="66" t="s">
        <v>258</v>
      </c>
      <c r="AB62" s="66" t="s">
        <v>174</v>
      </c>
      <c r="AC62" s="66">
        <v>73316</v>
      </c>
      <c r="AD62" s="66">
        <v>35064</v>
      </c>
      <c r="AE62" s="79" t="s">
        <v>271</v>
      </c>
      <c r="AF62" s="66" t="s">
        <v>272</v>
      </c>
      <c r="AG62" s="66" t="s">
        <v>260</v>
      </c>
      <c r="AH62" s="66"/>
      <c r="AI62" s="66">
        <f>77815+1876</f>
        <v>79691</v>
      </c>
    </row>
    <row r="63" spans="1:35" ht="79.8" x14ac:dyDescent="0.25">
      <c r="A63" s="58">
        <v>22</v>
      </c>
      <c r="B63" s="59" t="s">
        <v>273</v>
      </c>
      <c r="C63" s="60" t="str">
        <f t="shared" ca="1" si="1"/>
        <v xml:space="preserve">Котлы битумные стационарные 15000 л
-----------------------------------------------------------------------
маш.-ч
------------------------------------------------------------------------1478 руб. НР 92%=120%*(0.9*0.85) от ФОТ (-1606 руб.)
-707 руб. СП 44%=65%*(0.85*0.8) от ФОТ (-1606 руб.)
</v>
      </c>
      <c r="D63" s="61">
        <v>-8.7200000000000006</v>
      </c>
      <c r="E63" s="62">
        <v>164.18</v>
      </c>
      <c r="F63" s="62" t="s">
        <v>274</v>
      </c>
      <c r="G63" s="62" t="s">
        <v>104</v>
      </c>
      <c r="H63" s="63" t="s">
        <v>275</v>
      </c>
      <c r="I63" s="64">
        <v>-13003</v>
      </c>
      <c r="J63" s="62"/>
      <c r="K63" s="62" t="s">
        <v>276</v>
      </c>
      <c r="L63" s="62" t="str">
        <f>IF(-8.72*0=0," ",TEXT(,ROUND((-8.72*0*1),0)))</f>
        <v xml:space="preserve"> </v>
      </c>
      <c r="M63" s="62"/>
      <c r="N63" s="62"/>
      <c r="O63" s="65"/>
      <c r="P63" s="65"/>
      <c r="Q63" s="65"/>
      <c r="R63" s="65"/>
      <c r="S63" s="65"/>
      <c r="T63" s="66"/>
      <c r="U63" s="66"/>
      <c r="V63" s="66"/>
      <c r="W63" s="66"/>
      <c r="X63" s="66"/>
      <c r="Y63" s="66"/>
      <c r="Z63" s="66"/>
      <c r="AA63" s="66" t="s">
        <v>258</v>
      </c>
      <c r="AB63" s="66" t="s">
        <v>174</v>
      </c>
      <c r="AC63" s="66">
        <v>-1478</v>
      </c>
      <c r="AD63" s="66">
        <v>-707</v>
      </c>
      <c r="AE63" s="66"/>
      <c r="AF63" s="66" t="s">
        <v>277</v>
      </c>
      <c r="AG63" s="66" t="s">
        <v>264</v>
      </c>
      <c r="AH63" s="66"/>
      <c r="AI63" s="66">
        <f>0+-1606</f>
        <v>-1606</v>
      </c>
    </row>
    <row r="64" spans="1:35" ht="148.19999999999999" x14ac:dyDescent="0.25">
      <c r="A64" s="58">
        <v>23</v>
      </c>
      <c r="B64" s="59" t="s">
        <v>265</v>
      </c>
      <c r="C64" s="60" t="str">
        <f t="shared" ca="1" si="1"/>
        <v xml:space="preserve">Утепление покрытий плитами: на каждый последующий слой добавлять к расценке 12-01-013-03
-----------------------------------------------------------------------
100 м2 утепляемого покрытия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-----------------------------------------------------------------------5398 руб. НР 92%=120%*(0.9*0.85) от ФОТ (5867 руб.)
2581 руб. СП 44%=65%*(0.85*0.8) от ФОТ (5867 руб.)
</v>
      </c>
      <c r="D64" s="61">
        <v>0.95699999999999996</v>
      </c>
      <c r="E64" s="62" t="s">
        <v>278</v>
      </c>
      <c r="F64" s="62">
        <v>158.19</v>
      </c>
      <c r="G64" s="62" t="s">
        <v>104</v>
      </c>
      <c r="H64" s="63" t="s">
        <v>254</v>
      </c>
      <c r="I64" s="64">
        <v>7265</v>
      </c>
      <c r="J64" s="62">
        <v>5867</v>
      </c>
      <c r="K64" s="62">
        <v>1398</v>
      </c>
      <c r="L64" s="62" t="str">
        <f>IF(0.957*0=0," ",TEXT(,ROUND((0.957*0*7),0)))</f>
        <v xml:space="preserve"> </v>
      </c>
      <c r="M64" s="62" t="s">
        <v>279</v>
      </c>
      <c r="N64" s="62" t="s">
        <v>280</v>
      </c>
      <c r="O64" s="65"/>
      <c r="P64" s="65"/>
      <c r="Q64" s="65"/>
      <c r="R64" s="65"/>
      <c r="S64" s="65"/>
      <c r="T64" s="66"/>
      <c r="U64" s="66"/>
      <c r="V64" s="66"/>
      <c r="W64" s="66"/>
      <c r="X64" s="66"/>
      <c r="Y64" s="66"/>
      <c r="Z64" s="66"/>
      <c r="AA64" s="66" t="s">
        <v>258</v>
      </c>
      <c r="AB64" s="66" t="s">
        <v>174</v>
      </c>
      <c r="AC64" s="66">
        <v>5398</v>
      </c>
      <c r="AD64" s="66">
        <v>2581</v>
      </c>
      <c r="AE64" s="66" t="s">
        <v>233</v>
      </c>
      <c r="AF64" s="66" t="s">
        <v>281</v>
      </c>
      <c r="AG64" s="66" t="s">
        <v>260</v>
      </c>
      <c r="AH64" s="66"/>
      <c r="AI64" s="66">
        <f>5867+0</f>
        <v>5867</v>
      </c>
    </row>
    <row r="65" spans="1:35" ht="52.8" x14ac:dyDescent="0.25">
      <c r="A65" s="58">
        <v>24</v>
      </c>
      <c r="B65" s="59" t="s">
        <v>261</v>
      </c>
      <c r="C65" s="60" t="str">
        <f t="shared" ca="1" si="1"/>
        <v xml:space="preserve">Котлы битумные передвижные 400 л
-----------------------------------------------------------------------
маш.-ч
</v>
      </c>
      <c r="D65" s="61">
        <v>-1.97</v>
      </c>
      <c r="E65" s="62">
        <v>30</v>
      </c>
      <c r="F65" s="62">
        <v>30</v>
      </c>
      <c r="G65" s="62" t="s">
        <v>104</v>
      </c>
      <c r="H65" s="63" t="s">
        <v>262</v>
      </c>
      <c r="I65" s="64">
        <v>-338</v>
      </c>
      <c r="J65" s="62"/>
      <c r="K65" s="62">
        <v>-338</v>
      </c>
      <c r="L65" s="62" t="str">
        <f>IF(-1.97*0=0," ",TEXT(,ROUND((-1.97*0*1),0)))</f>
        <v xml:space="preserve"> </v>
      </c>
      <c r="M65" s="62"/>
      <c r="N65" s="62"/>
      <c r="O65" s="65"/>
      <c r="P65" s="65"/>
      <c r="Q65" s="65"/>
      <c r="R65" s="65"/>
      <c r="S65" s="65"/>
      <c r="T65" s="66"/>
      <c r="U65" s="66"/>
      <c r="V65" s="66"/>
      <c r="W65" s="66"/>
      <c r="X65" s="66"/>
      <c r="Y65" s="66"/>
      <c r="Z65" s="66"/>
      <c r="AA65" s="66" t="s">
        <v>258</v>
      </c>
      <c r="AB65" s="66" t="s">
        <v>174</v>
      </c>
      <c r="AC65" s="66"/>
      <c r="AD65" s="66"/>
      <c r="AE65" s="66"/>
      <c r="AF65" s="66" t="s">
        <v>263</v>
      </c>
      <c r="AG65" s="66" t="s">
        <v>264</v>
      </c>
      <c r="AH65" s="66"/>
      <c r="AI65" s="66">
        <f>0+0</f>
        <v>0</v>
      </c>
    </row>
    <row r="66" spans="1:35" ht="68.400000000000006" x14ac:dyDescent="0.25">
      <c r="A66" s="58">
        <v>25</v>
      </c>
      <c r="B66" s="59" t="s">
        <v>282</v>
      </c>
      <c r="C66" s="60" t="str">
        <f t="shared" ca="1" si="1"/>
        <v xml:space="preserve">Плиты теплоизоляционные энергетические гидрофобизированные базальтовые:ПТЭ-125, размером 2000х1000х50мм   4105/5,63=729,16
-----------------------------------------------------------------------
м3
</v>
      </c>
      <c r="D66" s="61">
        <v>89.4</v>
      </c>
      <c r="E66" s="62">
        <v>729.16</v>
      </c>
      <c r="F66" s="62"/>
      <c r="G66" s="62" t="s">
        <v>283</v>
      </c>
      <c r="H66" s="63" t="s">
        <v>284</v>
      </c>
      <c r="I66" s="64">
        <v>367003</v>
      </c>
      <c r="J66" s="62"/>
      <c r="K66" s="62"/>
      <c r="L66" s="62" t="str">
        <f>IF(89.4*729.16=0," ",TEXT(,ROUND((89.4*729.16*5.63),0)))</f>
        <v>367002</v>
      </c>
      <c r="M66" s="62"/>
      <c r="N66" s="62"/>
      <c r="O66" s="65"/>
      <c r="P66" s="65"/>
      <c r="Q66" s="65"/>
      <c r="R66" s="65"/>
      <c r="S66" s="65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 t="s">
        <v>285</v>
      </c>
      <c r="AG66" s="66" t="s">
        <v>286</v>
      </c>
      <c r="AH66" s="66"/>
      <c r="AI66" s="66">
        <f>0+0</f>
        <v>0</v>
      </c>
    </row>
    <row r="67" spans="1:35" ht="91.2" x14ac:dyDescent="0.25">
      <c r="A67" s="58">
        <v>26</v>
      </c>
      <c r="B67" s="59" t="s">
        <v>236</v>
      </c>
      <c r="C67" s="60" t="str">
        <f t="shared" ca="1" si="1"/>
        <v xml:space="preserve">Устройство покрытия из рулонных материалов: насухо без промазки кромок
-----------------------------------------------------------------------
100 м2 кровли
-----------------------------------------------------------------------1806 руб. НР 71%=83%*0.85 от ФОТ (2544 руб.)
1323 руб. СП 52%=65%*0.8 от ФОТ (2544 руб.)
</v>
      </c>
      <c r="D67" s="61">
        <v>4.4160000000000004</v>
      </c>
      <c r="E67" s="62" t="s">
        <v>237</v>
      </c>
      <c r="F67" s="62">
        <v>5.23</v>
      </c>
      <c r="G67" s="62" t="s">
        <v>238</v>
      </c>
      <c r="H67" s="63" t="s">
        <v>239</v>
      </c>
      <c r="I67" s="64">
        <v>23134</v>
      </c>
      <c r="J67" s="62">
        <v>2544</v>
      </c>
      <c r="K67" s="62">
        <v>266</v>
      </c>
      <c r="L67" s="62" t="str">
        <f>IF(4.416*883.33=0," ",TEXT(,ROUND((4.416*883.33*5.21),0)))</f>
        <v>20323</v>
      </c>
      <c r="M67" s="62">
        <v>4.5199999999999996</v>
      </c>
      <c r="N67" s="62">
        <v>19.96</v>
      </c>
      <c r="O67" s="65"/>
      <c r="P67" s="65"/>
      <c r="Q67" s="65"/>
      <c r="R67" s="65"/>
      <c r="S67" s="65"/>
      <c r="T67" s="66"/>
      <c r="U67" s="66"/>
      <c r="V67" s="66"/>
      <c r="W67" s="66"/>
      <c r="X67" s="66"/>
      <c r="Y67" s="66"/>
      <c r="Z67" s="66"/>
      <c r="AA67" s="66" t="s">
        <v>116</v>
      </c>
      <c r="AB67" s="66" t="s">
        <v>117</v>
      </c>
      <c r="AC67" s="66">
        <v>1806</v>
      </c>
      <c r="AD67" s="66">
        <v>1323</v>
      </c>
      <c r="AE67" s="66"/>
      <c r="AF67" s="66" t="s">
        <v>240</v>
      </c>
      <c r="AG67" s="66" t="s">
        <v>120</v>
      </c>
      <c r="AH67" s="66"/>
      <c r="AI67" s="66">
        <f>2544+0</f>
        <v>2544</v>
      </c>
    </row>
    <row r="68" spans="1:35" ht="57" x14ac:dyDescent="0.25">
      <c r="A68" s="58">
        <v>27</v>
      </c>
      <c r="B68" s="59" t="s">
        <v>241</v>
      </c>
      <c r="C68" s="60" t="str">
        <f t="shared" ca="1" si="1"/>
        <v xml:space="preserve">Рубероид кровельный с крупнозернистой посыпкой марки РКК-350б
-----------------------------------------------------------------------
м2
</v>
      </c>
      <c r="D68" s="61">
        <v>-507.8</v>
      </c>
      <c r="E68" s="62">
        <v>7.46</v>
      </c>
      <c r="F68" s="62"/>
      <c r="G68" s="62" t="s">
        <v>242</v>
      </c>
      <c r="H68" s="63" t="s">
        <v>243</v>
      </c>
      <c r="I68" s="64">
        <v>-19830</v>
      </c>
      <c r="J68" s="62"/>
      <c r="K68" s="62"/>
      <c r="L68" s="62" t="str">
        <f>IF(-507.8*7.46=0," ",TEXT(,ROUND((-507.8*7.46*5.235),0)))</f>
        <v>-19831</v>
      </c>
      <c r="M68" s="62"/>
      <c r="N68" s="62"/>
      <c r="O68" s="65"/>
      <c r="P68" s="65"/>
      <c r="Q68" s="65"/>
      <c r="R68" s="65"/>
      <c r="S68" s="65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 t="s">
        <v>244</v>
      </c>
      <c r="AG68" s="66" t="s">
        <v>245</v>
      </c>
      <c r="AH68" s="66"/>
      <c r="AI68" s="66">
        <f>0+0</f>
        <v>0</v>
      </c>
    </row>
    <row r="69" spans="1:35" ht="52.8" x14ac:dyDescent="0.25">
      <c r="A69" s="58">
        <v>28</v>
      </c>
      <c r="B69" s="59" t="s">
        <v>287</v>
      </c>
      <c r="C69" s="60" t="str">
        <f t="shared" ca="1" si="1"/>
        <v xml:space="preserve">ИЗОСПАН С
-----------------------------------------------------------------------
10м2
</v>
      </c>
      <c r="D69" s="61">
        <v>50.78</v>
      </c>
      <c r="E69" s="62">
        <v>42</v>
      </c>
      <c r="F69" s="62"/>
      <c r="G69" s="62" t="s">
        <v>288</v>
      </c>
      <c r="H69" s="63" t="s">
        <v>289</v>
      </c>
      <c r="I69" s="64">
        <v>9660</v>
      </c>
      <c r="J69" s="62"/>
      <c r="K69" s="62"/>
      <c r="L69" s="62" t="str">
        <f>IF(50.78*42=0," ",TEXT(,ROUND((50.78*42*4.529),0)))</f>
        <v>9659</v>
      </c>
      <c r="M69" s="62"/>
      <c r="N69" s="62"/>
      <c r="O69" s="65"/>
      <c r="P69" s="65"/>
      <c r="Q69" s="65"/>
      <c r="R69" s="65"/>
      <c r="S69" s="65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 t="s">
        <v>290</v>
      </c>
      <c r="AG69" s="66" t="s">
        <v>250</v>
      </c>
      <c r="AH69" s="66"/>
      <c r="AI69" s="66">
        <f>0+0</f>
        <v>0</v>
      </c>
    </row>
    <row r="70" spans="1:35" ht="136.80000000000001" x14ac:dyDescent="0.25">
      <c r="A70" s="58">
        <v>29</v>
      </c>
      <c r="B70" s="59" t="s">
        <v>291</v>
      </c>
      <c r="C70" s="60" t="str">
        <f t="shared" ca="1" si="1"/>
        <v xml:space="preserve">Укладка ходовых досок (ходовые мостики)
-----------------------------------------------------------------------
100 м ходов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-----------------------------------------------------------------------1732 руб. НР 90%=118%*(0.9*0.85) от ФОТ (1924 руб.)
827 руб. СП 43%=63%*(0.85*0.8) от ФОТ (1924 руб.)
</v>
      </c>
      <c r="D70" s="61">
        <v>3.2</v>
      </c>
      <c r="E70" s="62" t="s">
        <v>292</v>
      </c>
      <c r="F70" s="62" t="s">
        <v>293</v>
      </c>
      <c r="G70" s="62" t="s">
        <v>294</v>
      </c>
      <c r="H70" s="63" t="s">
        <v>295</v>
      </c>
      <c r="I70" s="64">
        <v>20316</v>
      </c>
      <c r="J70" s="62">
        <v>1860</v>
      </c>
      <c r="K70" s="62" t="s">
        <v>296</v>
      </c>
      <c r="L70" s="62" t="str">
        <f>IF(3.2*1007.15=0," ",TEXT(,ROUND((3.2*1007.15*5.55),0)))</f>
        <v>17887</v>
      </c>
      <c r="M70" s="62"/>
      <c r="N70" s="62"/>
      <c r="O70" s="65"/>
      <c r="P70" s="65"/>
      <c r="Q70" s="65"/>
      <c r="R70" s="65"/>
      <c r="S70" s="65"/>
      <c r="T70" s="66"/>
      <c r="U70" s="66"/>
      <c r="V70" s="66"/>
      <c r="W70" s="66"/>
      <c r="X70" s="66"/>
      <c r="Y70" s="66"/>
      <c r="Z70" s="66"/>
      <c r="AA70" s="66" t="s">
        <v>165</v>
      </c>
      <c r="AB70" s="66" t="s">
        <v>166</v>
      </c>
      <c r="AC70" s="66">
        <v>1732</v>
      </c>
      <c r="AD70" s="66">
        <v>827</v>
      </c>
      <c r="AE70" s="66" t="s">
        <v>233</v>
      </c>
      <c r="AF70" s="66" t="s">
        <v>297</v>
      </c>
      <c r="AG70" s="66" t="s">
        <v>298</v>
      </c>
      <c r="AH70" s="66"/>
      <c r="AI70" s="66">
        <f>1860+64</f>
        <v>1924</v>
      </c>
    </row>
    <row r="71" spans="1:35" ht="171" x14ac:dyDescent="0.25">
      <c r="A71" s="58">
        <v>30</v>
      </c>
      <c r="B71" s="59" t="s">
        <v>299</v>
      </c>
      <c r="C71" s="60" t="str">
        <f t="shared" ca="1" si="1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первой группы огнезащитной эффективности по НПБ251
-----------------------------------------------------------------------
100 м2 обрабатываемой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-----------------------------------------------------------------------8448 руб. НР 77%=100%*(0.9*0.85) от ФОТ (10971 руб.)
5266 руб. СП 48%=70%*(0.85*0.8) от ФОТ (10971 руб.)
</v>
      </c>
      <c r="D71" s="61">
        <v>4.8170000000000002</v>
      </c>
      <c r="E71" s="62" t="s">
        <v>300</v>
      </c>
      <c r="F71" s="62" t="s">
        <v>301</v>
      </c>
      <c r="G71" s="62" t="s">
        <v>302</v>
      </c>
      <c r="H71" s="63" t="s">
        <v>303</v>
      </c>
      <c r="I71" s="64">
        <v>18820</v>
      </c>
      <c r="J71" s="62">
        <v>10812</v>
      </c>
      <c r="K71" s="62" t="s">
        <v>304</v>
      </c>
      <c r="L71" s="62" t="str">
        <f>IF(4.817*1.84=0," ",TEXT(,ROUND((4.817*1.84*16.82),0)))</f>
        <v>149</v>
      </c>
      <c r="M71" s="62"/>
      <c r="N71" s="62"/>
      <c r="O71" s="65"/>
      <c r="P71" s="65"/>
      <c r="Q71" s="65"/>
      <c r="R71" s="65"/>
      <c r="S71" s="65"/>
      <c r="T71" s="66"/>
      <c r="U71" s="66"/>
      <c r="V71" s="66"/>
      <c r="W71" s="66"/>
      <c r="X71" s="66"/>
      <c r="Y71" s="66"/>
      <c r="Z71" s="66"/>
      <c r="AA71" s="66" t="s">
        <v>173</v>
      </c>
      <c r="AB71" s="66" t="s">
        <v>107</v>
      </c>
      <c r="AC71" s="66">
        <v>8448</v>
      </c>
      <c r="AD71" s="66">
        <v>5266</v>
      </c>
      <c r="AE71" s="66" t="s">
        <v>233</v>
      </c>
      <c r="AF71" s="66" t="s">
        <v>305</v>
      </c>
      <c r="AG71" s="66" t="s">
        <v>306</v>
      </c>
      <c r="AH71" s="66"/>
      <c r="AI71" s="66">
        <f>10812+159</f>
        <v>10971</v>
      </c>
    </row>
    <row r="72" spans="1:35" ht="45.6" x14ac:dyDescent="0.25">
      <c r="A72" s="58">
        <v>31</v>
      </c>
      <c r="B72" s="59" t="s">
        <v>307</v>
      </c>
      <c r="C72" s="60" t="str">
        <f t="shared" ca="1" si="1"/>
        <v xml:space="preserve">Биопирен "Пирилакс-люкс"  209,09/5,63=37,14
-----------------------------------------------------------------------
кг
</v>
      </c>
      <c r="D72" s="61">
        <v>134.88</v>
      </c>
      <c r="E72" s="62">
        <v>37.14</v>
      </c>
      <c r="F72" s="62"/>
      <c r="G72" s="62" t="s">
        <v>308</v>
      </c>
      <c r="H72" s="63" t="s">
        <v>284</v>
      </c>
      <c r="I72" s="64">
        <v>28201</v>
      </c>
      <c r="J72" s="62"/>
      <c r="K72" s="62"/>
      <c r="L72" s="62" t="str">
        <f>IF(134.88*37.14=0," ",TEXT(,ROUND((134.88*37.14*5.63),0)))</f>
        <v>28203</v>
      </c>
      <c r="M72" s="62"/>
      <c r="N72" s="62"/>
      <c r="O72" s="65"/>
      <c r="P72" s="65"/>
      <c r="Q72" s="65"/>
      <c r="R72" s="65"/>
      <c r="S72" s="65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 t="s">
        <v>309</v>
      </c>
      <c r="AG72" s="66" t="s">
        <v>310</v>
      </c>
      <c r="AH72" s="66"/>
      <c r="AI72" s="66">
        <f>0+0</f>
        <v>0</v>
      </c>
    </row>
    <row r="73" spans="1:35" ht="148.19999999999999" x14ac:dyDescent="0.25">
      <c r="A73" s="58">
        <v>32</v>
      </c>
      <c r="B73" s="59" t="s">
        <v>311</v>
      </c>
      <c r="C73" s="60" t="str">
        <f t="shared" ca="1" si="1"/>
        <v xml:space="preserve">Устройство плит перекрытий каналов площадью: до 0,5 м2
-----------------------------------------------------------------------
100 шт. сборных конструкций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-----------------------------------------------------------------------315 руб. НР 99%=130%*(0.9*0.85) от ФОТ (318 руб.)
184 руб. СП 58%=85%*(0.85*0.8) от ФОТ (318 руб.)
</v>
      </c>
      <c r="D73" s="61">
        <v>0.02</v>
      </c>
      <c r="E73" s="62" t="s">
        <v>312</v>
      </c>
      <c r="F73" s="62" t="s">
        <v>313</v>
      </c>
      <c r="G73" s="62" t="s">
        <v>314</v>
      </c>
      <c r="H73" s="63" t="s">
        <v>315</v>
      </c>
      <c r="I73" s="64">
        <v>352</v>
      </c>
      <c r="J73" s="62">
        <v>318</v>
      </c>
      <c r="K73" s="62">
        <v>23</v>
      </c>
      <c r="L73" s="62" t="str">
        <f>IF(0.02*68.03=0," ",TEXT(,ROUND((0.02*68.03*5.37),0)))</f>
        <v>7</v>
      </c>
      <c r="M73" s="62"/>
      <c r="N73" s="62"/>
      <c r="O73" s="65"/>
      <c r="P73" s="65"/>
      <c r="Q73" s="65"/>
      <c r="R73" s="65"/>
      <c r="S73" s="65"/>
      <c r="T73" s="66"/>
      <c r="U73" s="66"/>
      <c r="V73" s="66"/>
      <c r="W73" s="66"/>
      <c r="X73" s="66"/>
      <c r="Y73" s="66"/>
      <c r="Z73" s="66"/>
      <c r="AA73" s="66" t="s">
        <v>316</v>
      </c>
      <c r="AB73" s="66" t="s">
        <v>317</v>
      </c>
      <c r="AC73" s="66">
        <v>315</v>
      </c>
      <c r="AD73" s="66">
        <v>184</v>
      </c>
      <c r="AE73" s="66" t="s">
        <v>233</v>
      </c>
      <c r="AF73" s="66" t="s">
        <v>318</v>
      </c>
      <c r="AG73" s="66" t="s">
        <v>319</v>
      </c>
      <c r="AH73" s="66"/>
      <c r="AI73" s="66">
        <f>318+0</f>
        <v>318</v>
      </c>
    </row>
    <row r="74" spans="1:35" ht="79.2" x14ac:dyDescent="0.25">
      <c r="A74" s="58">
        <v>33</v>
      </c>
      <c r="B74" s="59" t="s">
        <v>320</v>
      </c>
      <c r="C74" s="60" t="str">
        <f t="shared" ca="1" si="1"/>
        <v xml:space="preserve">Плита перекрытия П5-8а /бетон В15 (М200), объем 0,16 м3, расход ар-ры 14,8 кг/ (серия 3.006.1-2.87 вып.2)
-----------------------------------------------------------------------
шт.
</v>
      </c>
      <c r="D74" s="61">
        <v>0.02</v>
      </c>
      <c r="E74" s="62">
        <v>379.25</v>
      </c>
      <c r="F74" s="62"/>
      <c r="G74" s="62" t="s">
        <v>321</v>
      </c>
      <c r="H74" s="63" t="s">
        <v>322</v>
      </c>
      <c r="I74" s="64">
        <v>44</v>
      </c>
      <c r="J74" s="62"/>
      <c r="K74" s="62"/>
      <c r="L74" s="62" t="str">
        <f>IF(0.02*379.25=0," ",TEXT(,ROUND((0.02*379.25*5.489),0)))</f>
        <v>42</v>
      </c>
      <c r="M74" s="62"/>
      <c r="N74" s="62"/>
      <c r="O74" s="65"/>
      <c r="P74" s="65"/>
      <c r="Q74" s="65"/>
      <c r="R74" s="65"/>
      <c r="S74" s="65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 t="s">
        <v>323</v>
      </c>
      <c r="AG74" s="66" t="s">
        <v>324</v>
      </c>
      <c r="AH74" s="66"/>
      <c r="AI74" s="66">
        <f>0+0</f>
        <v>0</v>
      </c>
    </row>
    <row r="75" spans="1:35" ht="18.45" customHeight="1" x14ac:dyDescent="0.25">
      <c r="A75" s="113" t="s">
        <v>325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</row>
    <row r="76" spans="1:35" ht="136.80000000000001" x14ac:dyDescent="0.25">
      <c r="A76" s="58">
        <v>34</v>
      </c>
      <c r="B76" s="59" t="s">
        <v>326</v>
      </c>
      <c r="C76" s="60" t="str">
        <f t="shared" ref="C76:C99" ca="1" si="2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Установка элементов каркаса: из брусьев
-----------------------------------------------------------------------
1 м3 древесины в конструкции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-----------------------------------------------------------------------286 руб. НР 90%=118%*(0.9*0.85) от ФОТ (318 руб.)
137 руб. СП 43%=63%*(0.85*0.8) от ФОТ (318 руб.)
</v>
      </c>
      <c r="D76" s="61">
        <v>0.09</v>
      </c>
      <c r="E76" s="62" t="s">
        <v>327</v>
      </c>
      <c r="F76" s="62">
        <v>41.89</v>
      </c>
      <c r="G76" s="62" t="s">
        <v>328</v>
      </c>
      <c r="H76" s="63" t="s">
        <v>329</v>
      </c>
      <c r="I76" s="64">
        <v>1186</v>
      </c>
      <c r="J76" s="62">
        <v>318</v>
      </c>
      <c r="K76" s="62">
        <v>45</v>
      </c>
      <c r="L76" s="62" t="str">
        <f>IF(0.09*2189=0," ",TEXT(,ROUND((0.09*2189*4.2),0)))</f>
        <v>827</v>
      </c>
      <c r="M76" s="62"/>
      <c r="N76" s="62"/>
      <c r="O76" s="65"/>
      <c r="P76" s="65"/>
      <c r="Q76" s="65"/>
      <c r="R76" s="65"/>
      <c r="S76" s="65"/>
      <c r="T76" s="66"/>
      <c r="U76" s="66"/>
      <c r="V76" s="66"/>
      <c r="W76" s="66"/>
      <c r="X76" s="66"/>
      <c r="Y76" s="66"/>
      <c r="Z76" s="66"/>
      <c r="AA76" s="66" t="s">
        <v>165</v>
      </c>
      <c r="AB76" s="66" t="s">
        <v>166</v>
      </c>
      <c r="AC76" s="66">
        <v>286</v>
      </c>
      <c r="AD76" s="66">
        <v>137</v>
      </c>
      <c r="AE76" s="66" t="s">
        <v>233</v>
      </c>
      <c r="AF76" s="66" t="s">
        <v>330</v>
      </c>
      <c r="AG76" s="66" t="s">
        <v>331</v>
      </c>
      <c r="AH76" s="66"/>
      <c r="AI76" s="66">
        <f>318+0</f>
        <v>318</v>
      </c>
    </row>
    <row r="77" spans="1:35" ht="148.19999999999999" x14ac:dyDescent="0.25">
      <c r="A77" s="58">
        <v>35</v>
      </c>
      <c r="B77" s="59" t="s">
        <v>332</v>
      </c>
      <c r="C77" s="60" t="str">
        <f t="shared" ca="1" si="2"/>
        <v xml:space="preserve">Обшивка каркасных стен: плитами древесностружечными 16 мм
-----------------------------------------------------------------------
100 м2 обшивки стен (за вычетом проемов)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-----------------------------------------------------------------------344 руб. НР 90%=118%*(0.9*0.85) от ФОТ (382 руб.)
164 руб. СП 43%=63%*(0.85*0.8) от ФОТ (382 руб.)
</v>
      </c>
      <c r="D77" s="61">
        <v>3.2000000000000001E-2</v>
      </c>
      <c r="E77" s="62" t="s">
        <v>333</v>
      </c>
      <c r="F77" s="62">
        <v>54.29</v>
      </c>
      <c r="G77" s="62" t="s">
        <v>334</v>
      </c>
      <c r="H77" s="63" t="s">
        <v>335</v>
      </c>
      <c r="I77" s="64">
        <v>854</v>
      </c>
      <c r="J77" s="62">
        <v>382</v>
      </c>
      <c r="K77" s="62">
        <v>23</v>
      </c>
      <c r="L77" s="62" t="str">
        <f>IF(0.032*2367.98=0," ",TEXT(,ROUND((0.032*2367.98*5.91),0)))</f>
        <v>448</v>
      </c>
      <c r="M77" s="62">
        <v>86.594999999999999</v>
      </c>
      <c r="N77" s="62">
        <v>2.77</v>
      </c>
      <c r="O77" s="65"/>
      <c r="P77" s="65"/>
      <c r="Q77" s="65"/>
      <c r="R77" s="65"/>
      <c r="S77" s="65"/>
      <c r="T77" s="66"/>
      <c r="U77" s="66"/>
      <c r="V77" s="66"/>
      <c r="W77" s="66"/>
      <c r="X77" s="66"/>
      <c r="Y77" s="66"/>
      <c r="Z77" s="66"/>
      <c r="AA77" s="66" t="s">
        <v>165</v>
      </c>
      <c r="AB77" s="66" t="s">
        <v>166</v>
      </c>
      <c r="AC77" s="66">
        <v>344</v>
      </c>
      <c r="AD77" s="66">
        <v>164</v>
      </c>
      <c r="AE77" s="66" t="s">
        <v>233</v>
      </c>
      <c r="AF77" s="66" t="s">
        <v>336</v>
      </c>
      <c r="AG77" s="66" t="s">
        <v>337</v>
      </c>
      <c r="AH77" s="66"/>
      <c r="AI77" s="66">
        <f>382+0</f>
        <v>382</v>
      </c>
    </row>
    <row r="78" spans="1:35" ht="57" x14ac:dyDescent="0.25">
      <c r="A78" s="58">
        <v>36</v>
      </c>
      <c r="B78" s="59" t="s">
        <v>338</v>
      </c>
      <c r="C78" s="60" t="str">
        <f t="shared" ca="1" si="2"/>
        <v xml:space="preserve">Плиты древесностружечные многослойные и трехслойные, марки П-1, толщиной 15-17 мм
-----------------------------------------------------------------------
100 м2
</v>
      </c>
      <c r="D78" s="61">
        <v>-3.2800000000000003E-2</v>
      </c>
      <c r="E78" s="62">
        <v>2275.5</v>
      </c>
      <c r="F78" s="62"/>
      <c r="G78" s="62" t="s">
        <v>339</v>
      </c>
      <c r="H78" s="63" t="s">
        <v>340</v>
      </c>
      <c r="I78" s="64">
        <v>-445</v>
      </c>
      <c r="J78" s="62"/>
      <c r="K78" s="62"/>
      <c r="L78" s="62" t="str">
        <f>IF(-0.0328*2275.5=0," ",TEXT(,ROUND((-0.0328*2275.5*5.927),0)))</f>
        <v>-442</v>
      </c>
      <c r="M78" s="62"/>
      <c r="N78" s="62"/>
      <c r="O78" s="65"/>
      <c r="P78" s="65"/>
      <c r="Q78" s="65"/>
      <c r="R78" s="65"/>
      <c r="S78" s="65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 t="s">
        <v>341</v>
      </c>
      <c r="AG78" s="66" t="s">
        <v>342</v>
      </c>
      <c r="AH78" s="66"/>
      <c r="AI78" s="66">
        <f>0+0</f>
        <v>0</v>
      </c>
    </row>
    <row r="79" spans="1:35" ht="57" x14ac:dyDescent="0.25">
      <c r="A79" s="58">
        <v>37</v>
      </c>
      <c r="B79" s="59" t="s">
        <v>343</v>
      </c>
      <c r="C79" s="60" t="str">
        <f t="shared" ca="1" si="2"/>
        <v xml:space="preserve">Фанера бакелизированная марки ФБС, толщиной 14-18 мм
-----------------------------------------------------------------------
м3
</v>
      </c>
      <c r="D79" s="61">
        <v>4.8000000000000001E-2</v>
      </c>
      <c r="E79" s="62">
        <v>12480</v>
      </c>
      <c r="F79" s="62"/>
      <c r="G79" s="62" t="s">
        <v>344</v>
      </c>
      <c r="H79" s="63" t="s">
        <v>345</v>
      </c>
      <c r="I79" s="64">
        <v>876</v>
      </c>
      <c r="J79" s="62"/>
      <c r="K79" s="62"/>
      <c r="L79" s="62" t="str">
        <f>IF(0.048*12480=0," ",TEXT(,ROUND((0.048*12480*1.463),0)))</f>
        <v>876</v>
      </c>
      <c r="M79" s="62"/>
      <c r="N79" s="62"/>
      <c r="O79" s="65"/>
      <c r="P79" s="65"/>
      <c r="Q79" s="65"/>
      <c r="R79" s="65"/>
      <c r="S79" s="65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 t="s">
        <v>346</v>
      </c>
      <c r="AG79" s="66" t="s">
        <v>286</v>
      </c>
      <c r="AH79" s="66"/>
      <c r="AI79" s="66">
        <f>0+0</f>
        <v>0</v>
      </c>
    </row>
    <row r="80" spans="1:35" ht="148.19999999999999" x14ac:dyDescent="0.25">
      <c r="A80" s="58">
        <v>38</v>
      </c>
      <c r="B80" s="59" t="s">
        <v>251</v>
      </c>
      <c r="C80" s="60" t="str">
        <f t="shared" ca="1" si="2"/>
        <v xml:space="preserve">Утепление покрытий плитами: из минеральной ваты или перлита на битумной мастике в один слой
-----------------------------------------------------------------------
100 м2 утепляемого покрытия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-----------------------------------------------------------------------87 руб. НР 92%=120%*(0.9*0.85) от ФОТ (95 руб.)
42 руб. СП 44%=65%*(0.85*0.8) от ФОТ (95 руб.)
</v>
      </c>
      <c r="D80" s="61">
        <v>1.2E-2</v>
      </c>
      <c r="E80" s="62" t="s">
        <v>347</v>
      </c>
      <c r="F80" s="62" t="s">
        <v>253</v>
      </c>
      <c r="G80" s="62" t="s">
        <v>348</v>
      </c>
      <c r="H80" s="63" t="s">
        <v>254</v>
      </c>
      <c r="I80" s="64">
        <v>464</v>
      </c>
      <c r="J80" s="62">
        <v>95</v>
      </c>
      <c r="K80" s="62">
        <v>19</v>
      </c>
      <c r="L80" s="62" t="str">
        <f>IF(0.012*4146.24=0," ",TEXT(,ROUND((0.012*4146.24*7),0)))</f>
        <v>348</v>
      </c>
      <c r="M80" s="62" t="s">
        <v>256</v>
      </c>
      <c r="N80" s="62" t="s">
        <v>349</v>
      </c>
      <c r="O80" s="65"/>
      <c r="P80" s="65"/>
      <c r="Q80" s="65"/>
      <c r="R80" s="65"/>
      <c r="S80" s="65"/>
      <c r="T80" s="66"/>
      <c r="U80" s="66"/>
      <c r="V80" s="66"/>
      <c r="W80" s="66"/>
      <c r="X80" s="66"/>
      <c r="Y80" s="66"/>
      <c r="Z80" s="66"/>
      <c r="AA80" s="66" t="s">
        <v>258</v>
      </c>
      <c r="AB80" s="66" t="s">
        <v>174</v>
      </c>
      <c r="AC80" s="66">
        <v>87</v>
      </c>
      <c r="AD80" s="66">
        <v>42</v>
      </c>
      <c r="AE80" s="66" t="s">
        <v>233</v>
      </c>
      <c r="AF80" s="66" t="s">
        <v>259</v>
      </c>
      <c r="AG80" s="66" t="s">
        <v>260</v>
      </c>
      <c r="AH80" s="66"/>
      <c r="AI80" s="66">
        <f>95+0</f>
        <v>95</v>
      </c>
    </row>
    <row r="81" spans="1:35" ht="52.8" x14ac:dyDescent="0.25">
      <c r="A81" s="58">
        <v>39</v>
      </c>
      <c r="B81" s="59" t="s">
        <v>261</v>
      </c>
      <c r="C81" s="60" t="str">
        <f t="shared" ca="1" si="2"/>
        <v xml:space="preserve">Котлы битумные передвижные 400 л
-----------------------------------------------------------------------
маш.-ч
</v>
      </c>
      <c r="D81" s="61">
        <v>-0.03</v>
      </c>
      <c r="E81" s="62">
        <v>30</v>
      </c>
      <c r="F81" s="62">
        <v>30</v>
      </c>
      <c r="G81" s="62" t="s">
        <v>104</v>
      </c>
      <c r="H81" s="63" t="s">
        <v>262</v>
      </c>
      <c r="I81" s="64">
        <v>-6</v>
      </c>
      <c r="J81" s="62"/>
      <c r="K81" s="62">
        <v>-6</v>
      </c>
      <c r="L81" s="62" t="str">
        <f>IF(-0.03*0=0," ",TEXT(,ROUND((-0.03*0*1),0)))</f>
        <v xml:space="preserve"> </v>
      </c>
      <c r="M81" s="62"/>
      <c r="N81" s="62"/>
      <c r="O81" s="65"/>
      <c r="P81" s="65"/>
      <c r="Q81" s="65"/>
      <c r="R81" s="65"/>
      <c r="S81" s="65"/>
      <c r="T81" s="66"/>
      <c r="U81" s="66"/>
      <c r="V81" s="66"/>
      <c r="W81" s="66"/>
      <c r="X81" s="66"/>
      <c r="Y81" s="66"/>
      <c r="Z81" s="66"/>
      <c r="AA81" s="66" t="s">
        <v>258</v>
      </c>
      <c r="AB81" s="66" t="s">
        <v>174</v>
      </c>
      <c r="AC81" s="66"/>
      <c r="AD81" s="66"/>
      <c r="AE81" s="66"/>
      <c r="AF81" s="66" t="s">
        <v>263</v>
      </c>
      <c r="AG81" s="66" t="s">
        <v>264</v>
      </c>
      <c r="AH81" s="66"/>
      <c r="AI81" s="66">
        <f t="shared" ref="AI81:AI92" si="3">0+0</f>
        <v>0</v>
      </c>
    </row>
    <row r="82" spans="1:35" ht="57" x14ac:dyDescent="0.25">
      <c r="A82" s="58">
        <v>40</v>
      </c>
      <c r="B82" s="59" t="s">
        <v>350</v>
      </c>
      <c r="C82" s="60" t="str">
        <f t="shared" ca="1" si="2"/>
        <v xml:space="preserve">Битумы нефтяные строительные кровельные марки БНК-45/190, БНК-45/180
-----------------------------------------------------------------------
т
</v>
      </c>
      <c r="D82" s="61">
        <v>-2.9999999999999997E-4</v>
      </c>
      <c r="E82" s="62">
        <v>1530</v>
      </c>
      <c r="F82" s="62"/>
      <c r="G82" s="62" t="s">
        <v>351</v>
      </c>
      <c r="H82" s="63" t="s">
        <v>352</v>
      </c>
      <c r="I82" s="64"/>
      <c r="J82" s="62"/>
      <c r="K82" s="62"/>
      <c r="L82" s="62" t="str">
        <f>IF(-0.0003*1530=0," ",TEXT(,ROUND((-0.0003*1530*13.273),0)))</f>
        <v>-6</v>
      </c>
      <c r="M82" s="62"/>
      <c r="N82" s="62"/>
      <c r="O82" s="65"/>
      <c r="P82" s="65"/>
      <c r="Q82" s="65"/>
      <c r="R82" s="65"/>
      <c r="S82" s="65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 t="s">
        <v>353</v>
      </c>
      <c r="AG82" s="66" t="s">
        <v>354</v>
      </c>
      <c r="AH82" s="66"/>
      <c r="AI82" s="66">
        <f t="shared" si="3"/>
        <v>0</v>
      </c>
    </row>
    <row r="83" spans="1:35" ht="52.8" x14ac:dyDescent="0.25">
      <c r="A83" s="58">
        <v>41</v>
      </c>
      <c r="B83" s="59" t="s">
        <v>355</v>
      </c>
      <c r="C83" s="60" t="str">
        <f t="shared" ca="1" si="2"/>
        <v xml:space="preserve">Керосин для технических целей марок КТ-1, КТ-2
-----------------------------------------------------------------------
т
</v>
      </c>
      <c r="D83" s="61">
        <v>-6.9999999999999999E-4</v>
      </c>
      <c r="E83" s="62">
        <v>2606.9</v>
      </c>
      <c r="F83" s="62"/>
      <c r="G83" s="62" t="s">
        <v>356</v>
      </c>
      <c r="H83" s="63" t="s">
        <v>357</v>
      </c>
      <c r="I83" s="64">
        <v>-45</v>
      </c>
      <c r="J83" s="62"/>
      <c r="K83" s="62"/>
      <c r="L83" s="62" t="str">
        <f>IF(-0.0007*2606.9=0," ",TEXT(,ROUND((-0.0007*2606.9*22.429),0)))</f>
        <v>-41</v>
      </c>
      <c r="M83" s="62"/>
      <c r="N83" s="62"/>
      <c r="O83" s="65"/>
      <c r="P83" s="65"/>
      <c r="Q83" s="65"/>
      <c r="R83" s="65"/>
      <c r="S83" s="65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 t="s">
        <v>358</v>
      </c>
      <c r="AG83" s="66" t="s">
        <v>354</v>
      </c>
      <c r="AH83" s="66"/>
      <c r="AI83" s="66">
        <f t="shared" si="3"/>
        <v>0</v>
      </c>
    </row>
    <row r="84" spans="1:35" ht="52.8" x14ac:dyDescent="0.25">
      <c r="A84" s="58">
        <v>42</v>
      </c>
      <c r="B84" s="59" t="s">
        <v>359</v>
      </c>
      <c r="C84" s="60" t="str">
        <f t="shared" ca="1" si="2"/>
        <v xml:space="preserve">Мастика битумная кровельная горячая
-----------------------------------------------------------------------
т
</v>
      </c>
      <c r="D84" s="61">
        <v>-2.3999999999999998E-3</v>
      </c>
      <c r="E84" s="62">
        <v>3390</v>
      </c>
      <c r="F84" s="62"/>
      <c r="G84" s="62" t="s">
        <v>360</v>
      </c>
      <c r="H84" s="63" t="s">
        <v>361</v>
      </c>
      <c r="I84" s="64">
        <v>-81</v>
      </c>
      <c r="J84" s="62"/>
      <c r="K84" s="62"/>
      <c r="L84" s="62" t="str">
        <f>IF(-0.0024*3390=0," ",TEXT(,ROUND((-0.0024*3390*10.164),0)))</f>
        <v>-83</v>
      </c>
      <c r="M84" s="62"/>
      <c r="N84" s="62"/>
      <c r="O84" s="65"/>
      <c r="P84" s="65"/>
      <c r="Q84" s="65"/>
      <c r="R84" s="65"/>
      <c r="S84" s="65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 t="s">
        <v>362</v>
      </c>
      <c r="AG84" s="66" t="s">
        <v>354</v>
      </c>
      <c r="AH84" s="66"/>
      <c r="AI84" s="66">
        <f t="shared" si="3"/>
        <v>0</v>
      </c>
    </row>
    <row r="85" spans="1:35" ht="57" x14ac:dyDescent="0.25">
      <c r="A85" s="58">
        <v>43</v>
      </c>
      <c r="B85" s="59" t="s">
        <v>363</v>
      </c>
      <c r="C85" s="60" t="str">
        <f t="shared" ca="1" si="2"/>
        <v xml:space="preserve">Плиты из минеральной ваты на синтетическом связующем М-125 (ГОСТ 9573-96)
-----------------------------------------------------------------------
м3
</v>
      </c>
      <c r="D85" s="61">
        <v>-7.4200000000000002E-2</v>
      </c>
      <c r="E85" s="62">
        <v>530</v>
      </c>
      <c r="F85" s="62"/>
      <c r="G85" s="62" t="s">
        <v>364</v>
      </c>
      <c r="H85" s="63" t="s">
        <v>365</v>
      </c>
      <c r="I85" s="64">
        <v>-232</v>
      </c>
      <c r="J85" s="62"/>
      <c r="K85" s="62"/>
      <c r="L85" s="62" t="str">
        <f>IF(-0.0742*530=0," ",TEXT(,ROUND((-0.0742*530*5.946),0)))</f>
        <v>-234</v>
      </c>
      <c r="M85" s="62"/>
      <c r="N85" s="62"/>
      <c r="O85" s="65"/>
      <c r="P85" s="65"/>
      <c r="Q85" s="65"/>
      <c r="R85" s="65"/>
      <c r="S85" s="65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 t="s">
        <v>366</v>
      </c>
      <c r="AG85" s="66" t="s">
        <v>286</v>
      </c>
      <c r="AH85" s="66"/>
      <c r="AI85" s="66">
        <f t="shared" si="3"/>
        <v>0</v>
      </c>
    </row>
    <row r="86" spans="1:35" ht="68.400000000000006" x14ac:dyDescent="0.25">
      <c r="A86" s="58">
        <v>44</v>
      </c>
      <c r="B86" s="59" t="s">
        <v>367</v>
      </c>
      <c r="C86" s="60" t="str">
        <f t="shared" ca="1" si="2"/>
        <v xml:space="preserve">Плиты теплоизоляционные энергетические гидрофобизированные базальтовые:ПТЭ-175, размером 2000х1000х50мм  5524,89/5,63=981,33
-----------------------------------------------------------------------
м3
</v>
      </c>
      <c r="D86" s="61">
        <v>0.06</v>
      </c>
      <c r="E86" s="62">
        <v>981.33</v>
      </c>
      <c r="F86" s="62"/>
      <c r="G86" s="62" t="s">
        <v>368</v>
      </c>
      <c r="H86" s="63" t="s">
        <v>284</v>
      </c>
      <c r="I86" s="64">
        <v>332</v>
      </c>
      <c r="J86" s="62"/>
      <c r="K86" s="62"/>
      <c r="L86" s="62" t="str">
        <f>IF(0.06*981.33=0," ",TEXT(,ROUND((0.06*981.33*5.63),0)))</f>
        <v>331</v>
      </c>
      <c r="M86" s="62"/>
      <c r="N86" s="62"/>
      <c r="O86" s="65"/>
      <c r="P86" s="65"/>
      <c r="Q86" s="65"/>
      <c r="R86" s="65"/>
      <c r="S86" s="65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 t="s">
        <v>369</v>
      </c>
      <c r="AG86" s="66" t="s">
        <v>286</v>
      </c>
      <c r="AH86" s="66"/>
      <c r="AI86" s="66">
        <f t="shared" si="3"/>
        <v>0</v>
      </c>
    </row>
    <row r="87" spans="1:35" ht="57" x14ac:dyDescent="0.25">
      <c r="A87" s="58">
        <v>45</v>
      </c>
      <c r="B87" s="59" t="s">
        <v>236</v>
      </c>
      <c r="C87" s="60" t="str">
        <f t="shared" ca="1" si="2"/>
        <v xml:space="preserve">Устройство покрытия из рулонных материалов: насухо без промазки кромок
-----------------------------------------------------------------------
100 м2 кровли
</v>
      </c>
      <c r="D87" s="61">
        <v>1.2E-2</v>
      </c>
      <c r="E87" s="62" t="s">
        <v>237</v>
      </c>
      <c r="F87" s="62">
        <v>5.23</v>
      </c>
      <c r="G87" s="62" t="s">
        <v>238</v>
      </c>
      <c r="H87" s="63" t="s">
        <v>239</v>
      </c>
      <c r="I87" s="64">
        <v>57</v>
      </c>
      <c r="J87" s="62"/>
      <c r="K87" s="62"/>
      <c r="L87" s="62" t="str">
        <f>IF(0.012*883.33=0," ",TEXT(,ROUND((0.012*883.33*5.21),0)))</f>
        <v>55</v>
      </c>
      <c r="M87" s="62">
        <v>4.5199999999999996</v>
      </c>
      <c r="N87" s="62">
        <v>0.05</v>
      </c>
      <c r="O87" s="65"/>
      <c r="P87" s="65"/>
      <c r="Q87" s="65"/>
      <c r="R87" s="65"/>
      <c r="S87" s="65"/>
      <c r="T87" s="66"/>
      <c r="U87" s="66"/>
      <c r="V87" s="66"/>
      <c r="W87" s="66"/>
      <c r="X87" s="66"/>
      <c r="Y87" s="66"/>
      <c r="Z87" s="66"/>
      <c r="AA87" s="66" t="s">
        <v>116</v>
      </c>
      <c r="AB87" s="66" t="s">
        <v>117</v>
      </c>
      <c r="AC87" s="66"/>
      <c r="AD87" s="66"/>
      <c r="AE87" s="66"/>
      <c r="AF87" s="66" t="s">
        <v>240</v>
      </c>
      <c r="AG87" s="66" t="s">
        <v>120</v>
      </c>
      <c r="AH87" s="66"/>
      <c r="AI87" s="66">
        <f t="shared" si="3"/>
        <v>0</v>
      </c>
    </row>
    <row r="88" spans="1:35" ht="57" x14ac:dyDescent="0.25">
      <c r="A88" s="58">
        <v>46</v>
      </c>
      <c r="B88" s="59" t="s">
        <v>241</v>
      </c>
      <c r="C88" s="60" t="str">
        <f t="shared" ca="1" si="2"/>
        <v xml:space="preserve">Рубероид кровельный с крупнозернистой посыпкой марки РКК-350б
-----------------------------------------------------------------------
м2
</v>
      </c>
      <c r="D88" s="61">
        <v>-1.38</v>
      </c>
      <c r="E88" s="62">
        <v>7.46</v>
      </c>
      <c r="F88" s="62"/>
      <c r="G88" s="62" t="s">
        <v>242</v>
      </c>
      <c r="H88" s="63" t="s">
        <v>243</v>
      </c>
      <c r="I88" s="64">
        <v>-52</v>
      </c>
      <c r="J88" s="62"/>
      <c r="K88" s="62"/>
      <c r="L88" s="62" t="str">
        <f>IF(-1.38*7.46=0," ",TEXT(,ROUND((-1.38*7.46*5.235),0)))</f>
        <v>-54</v>
      </c>
      <c r="M88" s="62"/>
      <c r="N88" s="62"/>
      <c r="O88" s="65"/>
      <c r="P88" s="65"/>
      <c r="Q88" s="65"/>
      <c r="R88" s="65"/>
      <c r="S88" s="65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 t="s">
        <v>244</v>
      </c>
      <c r="AG88" s="66" t="s">
        <v>245</v>
      </c>
      <c r="AH88" s="66"/>
      <c r="AI88" s="66">
        <f t="shared" si="3"/>
        <v>0</v>
      </c>
    </row>
    <row r="89" spans="1:35" ht="52.8" x14ac:dyDescent="0.25">
      <c r="A89" s="58">
        <v>47</v>
      </c>
      <c r="B89" s="59" t="s">
        <v>370</v>
      </c>
      <c r="C89" s="60" t="str">
        <f t="shared" ca="1" si="2"/>
        <v xml:space="preserve">ИЗОСПАН А
-----------------------------------------------------------------------
10м2
</v>
      </c>
      <c r="D89" s="61">
        <v>0.13800000000000001</v>
      </c>
      <c r="E89" s="62">
        <v>39.200000000000003</v>
      </c>
      <c r="F89" s="62"/>
      <c r="G89" s="62" t="s">
        <v>371</v>
      </c>
      <c r="H89" s="63" t="s">
        <v>372</v>
      </c>
      <c r="I89" s="64">
        <v>26</v>
      </c>
      <c r="J89" s="62"/>
      <c r="K89" s="62"/>
      <c r="L89" s="62" t="str">
        <f>IF(0.138*39.2=0," ",TEXT(,ROUND((0.138*39.2*5.199),0)))</f>
        <v>28</v>
      </c>
      <c r="M89" s="62"/>
      <c r="N89" s="62"/>
      <c r="O89" s="65"/>
      <c r="P89" s="65"/>
      <c r="Q89" s="65"/>
      <c r="R89" s="65"/>
      <c r="S89" s="65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 t="s">
        <v>373</v>
      </c>
      <c r="AG89" s="66" t="s">
        <v>250</v>
      </c>
      <c r="AH89" s="66"/>
      <c r="AI89" s="66">
        <f t="shared" si="3"/>
        <v>0</v>
      </c>
    </row>
    <row r="90" spans="1:35" ht="57" x14ac:dyDescent="0.25">
      <c r="A90" s="58">
        <v>48</v>
      </c>
      <c r="B90" s="59" t="s">
        <v>236</v>
      </c>
      <c r="C90" s="60" t="str">
        <f t="shared" ca="1" si="2"/>
        <v xml:space="preserve">Устройство покрытия из рулонных материалов: насухо без промазки кромок
-----------------------------------------------------------------------
100 м2 кровли
</v>
      </c>
      <c r="D90" s="61">
        <v>1.2E-2</v>
      </c>
      <c r="E90" s="62" t="s">
        <v>237</v>
      </c>
      <c r="F90" s="62">
        <v>5.23</v>
      </c>
      <c r="G90" s="62" t="s">
        <v>238</v>
      </c>
      <c r="H90" s="63" t="s">
        <v>239</v>
      </c>
      <c r="I90" s="64">
        <v>57</v>
      </c>
      <c r="J90" s="62"/>
      <c r="K90" s="62"/>
      <c r="L90" s="62" t="str">
        <f>IF(0.012*883.33=0," ",TEXT(,ROUND((0.012*883.33*5.21),0)))</f>
        <v>55</v>
      </c>
      <c r="M90" s="62">
        <v>4.5199999999999996</v>
      </c>
      <c r="N90" s="62">
        <v>0.05</v>
      </c>
      <c r="O90" s="65"/>
      <c r="P90" s="65"/>
      <c r="Q90" s="65"/>
      <c r="R90" s="65"/>
      <c r="S90" s="65"/>
      <c r="T90" s="66"/>
      <c r="U90" s="66"/>
      <c r="V90" s="66"/>
      <c r="W90" s="66"/>
      <c r="X90" s="66"/>
      <c r="Y90" s="66"/>
      <c r="Z90" s="66"/>
      <c r="AA90" s="66" t="s">
        <v>116</v>
      </c>
      <c r="AB90" s="66" t="s">
        <v>117</v>
      </c>
      <c r="AC90" s="66"/>
      <c r="AD90" s="66"/>
      <c r="AE90" s="66"/>
      <c r="AF90" s="66" t="s">
        <v>240</v>
      </c>
      <c r="AG90" s="66" t="s">
        <v>120</v>
      </c>
      <c r="AH90" s="66"/>
      <c r="AI90" s="66">
        <f t="shared" si="3"/>
        <v>0</v>
      </c>
    </row>
    <row r="91" spans="1:35" ht="57" x14ac:dyDescent="0.25">
      <c r="A91" s="58">
        <v>49</v>
      </c>
      <c r="B91" s="59" t="s">
        <v>241</v>
      </c>
      <c r="C91" s="60" t="str">
        <f t="shared" ca="1" si="2"/>
        <v xml:space="preserve">Рубероид кровельный с крупнозернистой посыпкой марки РКК-350б
-----------------------------------------------------------------------
м2
</v>
      </c>
      <c r="D91" s="61">
        <v>-1.38</v>
      </c>
      <c r="E91" s="62">
        <v>7.46</v>
      </c>
      <c r="F91" s="62"/>
      <c r="G91" s="62" t="s">
        <v>242</v>
      </c>
      <c r="H91" s="63" t="s">
        <v>243</v>
      </c>
      <c r="I91" s="64">
        <v>-52</v>
      </c>
      <c r="J91" s="62"/>
      <c r="K91" s="62"/>
      <c r="L91" s="62" t="str">
        <f>IF(-1.38*7.46=0," ",TEXT(,ROUND((-1.38*7.46*5.235),0)))</f>
        <v>-54</v>
      </c>
      <c r="M91" s="62"/>
      <c r="N91" s="62"/>
      <c r="O91" s="65"/>
      <c r="P91" s="65"/>
      <c r="Q91" s="65"/>
      <c r="R91" s="65"/>
      <c r="S91" s="65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 t="s">
        <v>244</v>
      </c>
      <c r="AG91" s="66" t="s">
        <v>245</v>
      </c>
      <c r="AH91" s="66"/>
      <c r="AI91" s="66">
        <f t="shared" si="3"/>
        <v>0</v>
      </c>
    </row>
    <row r="92" spans="1:35" ht="52.8" x14ac:dyDescent="0.25">
      <c r="A92" s="58">
        <v>50</v>
      </c>
      <c r="B92" s="59" t="s">
        <v>246</v>
      </c>
      <c r="C92" s="60" t="str">
        <f t="shared" ca="1" si="2"/>
        <v xml:space="preserve">ИЗОСПАН В
-----------------------------------------------------------------------
10м2
</v>
      </c>
      <c r="D92" s="61">
        <v>0.13800000000000001</v>
      </c>
      <c r="E92" s="62">
        <v>27.5</v>
      </c>
      <c r="F92" s="62"/>
      <c r="G92" s="62" t="s">
        <v>247</v>
      </c>
      <c r="H92" s="63" t="s">
        <v>248</v>
      </c>
      <c r="I92" s="64">
        <v>23</v>
      </c>
      <c r="J92" s="62"/>
      <c r="K92" s="62"/>
      <c r="L92" s="62" t="str">
        <f>IF(0.138*27.5=0," ",TEXT(,ROUND((0.138*27.5*5.839),0)))</f>
        <v>22</v>
      </c>
      <c r="M92" s="62"/>
      <c r="N92" s="62"/>
      <c r="O92" s="65"/>
      <c r="P92" s="65"/>
      <c r="Q92" s="65"/>
      <c r="R92" s="65"/>
      <c r="S92" s="65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 t="s">
        <v>249</v>
      </c>
      <c r="AG92" s="66" t="s">
        <v>250</v>
      </c>
      <c r="AH92" s="66"/>
      <c r="AI92" s="66">
        <f t="shared" si="3"/>
        <v>0</v>
      </c>
    </row>
    <row r="93" spans="1:35" ht="159.6" x14ac:dyDescent="0.25">
      <c r="A93" s="58">
        <v>51</v>
      </c>
      <c r="B93" s="59" t="s">
        <v>374</v>
      </c>
      <c r="C93" s="60" t="str">
        <f t="shared" ca="1" si="2"/>
        <v xml:space="preserve">Обивка стен кровельной сталью: оцинкованной по асбесту
-----------------------------------------------------------------------
100 м2 стен, фронтонов (за вычетом проемов) и развернутых поверхностей карнизов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-----------------------------------------------------------------------129 руб. НР 90%=118%*(0.9*0.85) от ФОТ (143 руб.)
61 руб. СП 43%=63%*(0.85*0.8) от ФОТ (143 руб.)
</v>
      </c>
      <c r="D93" s="61">
        <v>0.04</v>
      </c>
      <c r="E93" s="62" t="s">
        <v>375</v>
      </c>
      <c r="F93" s="62">
        <v>25.06</v>
      </c>
      <c r="G93" s="62" t="s">
        <v>376</v>
      </c>
      <c r="H93" s="63" t="s">
        <v>377</v>
      </c>
      <c r="I93" s="64">
        <v>1402</v>
      </c>
      <c r="J93" s="62">
        <v>143</v>
      </c>
      <c r="K93" s="62">
        <v>12</v>
      </c>
      <c r="L93" s="62" t="str">
        <f>IF(0.04*6549.28=0," ",TEXT(,ROUND((0.04*6549.28*4.76),0)))</f>
        <v>1247</v>
      </c>
      <c r="M93" s="62">
        <v>28.864999999999998</v>
      </c>
      <c r="N93" s="62">
        <v>1.1499999999999999</v>
      </c>
      <c r="O93" s="65"/>
      <c r="P93" s="65"/>
      <c r="Q93" s="65"/>
      <c r="R93" s="65"/>
      <c r="S93" s="65"/>
      <c r="T93" s="66"/>
      <c r="U93" s="66"/>
      <c r="V93" s="66"/>
      <c r="W93" s="66"/>
      <c r="X93" s="66"/>
      <c r="Y93" s="66"/>
      <c r="Z93" s="66"/>
      <c r="AA93" s="66" t="s">
        <v>165</v>
      </c>
      <c r="AB93" s="66" t="s">
        <v>166</v>
      </c>
      <c r="AC93" s="66">
        <v>129</v>
      </c>
      <c r="AD93" s="66">
        <v>61</v>
      </c>
      <c r="AE93" s="66" t="s">
        <v>233</v>
      </c>
      <c r="AF93" s="66" t="s">
        <v>378</v>
      </c>
      <c r="AG93" s="66" t="s">
        <v>379</v>
      </c>
      <c r="AH93" s="66"/>
      <c r="AI93" s="66">
        <f>143+0</f>
        <v>143</v>
      </c>
    </row>
    <row r="94" spans="1:35" ht="57" x14ac:dyDescent="0.25">
      <c r="A94" s="58">
        <v>52</v>
      </c>
      <c r="B94" s="59" t="s">
        <v>380</v>
      </c>
      <c r="C94" s="60" t="str">
        <f t="shared" ca="1" si="2"/>
        <v xml:space="preserve">Картон асбестовый общего назначения марки КАОН-1 толщиной 4 и 6 мм
-----------------------------------------------------------------------
т
</v>
      </c>
      <c r="D94" s="61">
        <v>-1.2800000000000001E-2</v>
      </c>
      <c r="E94" s="62">
        <v>5040</v>
      </c>
      <c r="F94" s="62"/>
      <c r="G94" s="62" t="s">
        <v>381</v>
      </c>
      <c r="H94" s="63" t="s">
        <v>382</v>
      </c>
      <c r="I94" s="64">
        <v>-553</v>
      </c>
      <c r="J94" s="62"/>
      <c r="K94" s="62"/>
      <c r="L94" s="62" t="str">
        <f>IF(-0.0128*5040=0," ",TEXT(,ROUND((-0.0128*5040*8.507),0)))</f>
        <v>-549</v>
      </c>
      <c r="M94" s="62"/>
      <c r="N94" s="62"/>
      <c r="O94" s="65"/>
      <c r="P94" s="65"/>
      <c r="Q94" s="65"/>
      <c r="R94" s="65"/>
      <c r="S94" s="65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 t="s">
        <v>383</v>
      </c>
      <c r="AG94" s="66" t="s">
        <v>354</v>
      </c>
      <c r="AH94" s="66"/>
      <c r="AI94" s="66">
        <f>0+0</f>
        <v>0</v>
      </c>
    </row>
    <row r="95" spans="1:35" ht="79.8" x14ac:dyDescent="0.25">
      <c r="A95" s="58">
        <v>53</v>
      </c>
      <c r="B95" s="59" t="s">
        <v>384</v>
      </c>
      <c r="C95" s="60" t="str">
        <f t="shared" ca="1" si="2"/>
        <v xml:space="preserve">Смена дверных приборов: петли
-----------------------------------------------------------------------
100 шт. приборов
-----------------------------------------------------------------------379 руб. НР 70%=82%*0.85 от ФОТ (541 руб.)
271 руб. СП 50%=62%*0.8 от ФОТ (541 руб.)
</v>
      </c>
      <c r="D95" s="61">
        <v>0.04</v>
      </c>
      <c r="E95" s="62" t="s">
        <v>385</v>
      </c>
      <c r="F95" s="62"/>
      <c r="G95" s="62" t="s">
        <v>386</v>
      </c>
      <c r="H95" s="63" t="s">
        <v>387</v>
      </c>
      <c r="I95" s="64">
        <v>641</v>
      </c>
      <c r="J95" s="62">
        <v>541</v>
      </c>
      <c r="K95" s="62"/>
      <c r="L95" s="62" t="str">
        <f>IF(0.04*1471.58=0," ",TEXT(,ROUND((0.04*1471.58*1.7),0)))</f>
        <v>100</v>
      </c>
      <c r="M95" s="62"/>
      <c r="N95" s="62"/>
      <c r="O95" s="65"/>
      <c r="P95" s="65"/>
      <c r="Q95" s="65"/>
      <c r="R95" s="65"/>
      <c r="S95" s="65"/>
      <c r="T95" s="66"/>
      <c r="U95" s="66"/>
      <c r="V95" s="66"/>
      <c r="W95" s="66"/>
      <c r="X95" s="66"/>
      <c r="Y95" s="66"/>
      <c r="Z95" s="66"/>
      <c r="AA95" s="66" t="s">
        <v>388</v>
      </c>
      <c r="AB95" s="66" t="s">
        <v>389</v>
      </c>
      <c r="AC95" s="66">
        <v>379</v>
      </c>
      <c r="AD95" s="66">
        <v>271</v>
      </c>
      <c r="AE95" s="66"/>
      <c r="AF95" s="66" t="s">
        <v>390</v>
      </c>
      <c r="AG95" s="66" t="s">
        <v>391</v>
      </c>
      <c r="AH95" s="66"/>
      <c r="AI95" s="66">
        <f>541+0</f>
        <v>541</v>
      </c>
    </row>
    <row r="96" spans="1:35" ht="79.8" x14ac:dyDescent="0.25">
      <c r="A96" s="58">
        <v>54</v>
      </c>
      <c r="B96" s="59" t="s">
        <v>392</v>
      </c>
      <c r="C96" s="60" t="str">
        <f t="shared" ca="1" si="2"/>
        <v xml:space="preserve">Смена дверных приборов: ручки-скобы
-----------------------------------------------------------------------
100 шт. приборов
-----------------------------------------------------------------------123 руб. НР 70%=82%*0.85 от ФОТ (175 руб.)
88 руб. СП 50%=62%*0.8 от ФОТ (175 руб.)
</v>
      </c>
      <c r="D96" s="61">
        <v>0.04</v>
      </c>
      <c r="E96" s="62" t="s">
        <v>393</v>
      </c>
      <c r="F96" s="62"/>
      <c r="G96" s="62" t="s">
        <v>394</v>
      </c>
      <c r="H96" s="63" t="s">
        <v>395</v>
      </c>
      <c r="I96" s="64">
        <v>324</v>
      </c>
      <c r="J96" s="62">
        <v>175</v>
      </c>
      <c r="K96" s="62"/>
      <c r="L96" s="62" t="str">
        <f>IF(0.04*2091.9=0," ",TEXT(,ROUND((0.04*2091.9*1.77),0)))</f>
        <v>148</v>
      </c>
      <c r="M96" s="62"/>
      <c r="N96" s="62"/>
      <c r="O96" s="65"/>
      <c r="P96" s="65"/>
      <c r="Q96" s="65"/>
      <c r="R96" s="65"/>
      <c r="S96" s="65"/>
      <c r="T96" s="66"/>
      <c r="U96" s="66"/>
      <c r="V96" s="66"/>
      <c r="W96" s="66"/>
      <c r="X96" s="66"/>
      <c r="Y96" s="66"/>
      <c r="Z96" s="66"/>
      <c r="AA96" s="66" t="s">
        <v>388</v>
      </c>
      <c r="AB96" s="66" t="s">
        <v>389</v>
      </c>
      <c r="AC96" s="66">
        <v>123</v>
      </c>
      <c r="AD96" s="66">
        <v>88</v>
      </c>
      <c r="AE96" s="66"/>
      <c r="AF96" s="66" t="s">
        <v>396</v>
      </c>
      <c r="AG96" s="66" t="s">
        <v>391</v>
      </c>
      <c r="AH96" s="66"/>
      <c r="AI96" s="66">
        <f>175+0</f>
        <v>175</v>
      </c>
    </row>
    <row r="97" spans="1:35" ht="79.8" x14ac:dyDescent="0.25">
      <c r="A97" s="58">
        <v>55</v>
      </c>
      <c r="B97" s="59" t="s">
        <v>397</v>
      </c>
      <c r="C97" s="60" t="str">
        <f t="shared" ca="1" si="2"/>
        <v xml:space="preserve">Смена дверных приборов: задвижки
-----------------------------------------------------------------------
100 шт. приборов
-----------------------------------------------------------------------67 руб. НР 70%=82%*0.85 от ФОТ (95 руб.)
48 руб. СП 50%=62%*0.8 от ФОТ (95 руб.)
</v>
      </c>
      <c r="D97" s="61">
        <v>0.02</v>
      </c>
      <c r="E97" s="62" t="s">
        <v>398</v>
      </c>
      <c r="F97" s="62"/>
      <c r="G97" s="62" t="s">
        <v>399</v>
      </c>
      <c r="H97" s="63" t="s">
        <v>400</v>
      </c>
      <c r="I97" s="64">
        <v>167</v>
      </c>
      <c r="J97" s="62">
        <v>95</v>
      </c>
      <c r="K97" s="62"/>
      <c r="L97" s="62" t="str">
        <f>IF(0.02*1137.9=0," ",TEXT(,ROUND((0.02*1137.9*3.25),0)))</f>
        <v>74</v>
      </c>
      <c r="M97" s="62"/>
      <c r="N97" s="62"/>
      <c r="O97" s="65"/>
      <c r="P97" s="65"/>
      <c r="Q97" s="65"/>
      <c r="R97" s="65"/>
      <c r="S97" s="65"/>
      <c r="T97" s="66"/>
      <c r="U97" s="66"/>
      <c r="V97" s="66"/>
      <c r="W97" s="66"/>
      <c r="X97" s="66"/>
      <c r="Y97" s="66"/>
      <c r="Z97" s="66"/>
      <c r="AA97" s="66" t="s">
        <v>388</v>
      </c>
      <c r="AB97" s="66" t="s">
        <v>389</v>
      </c>
      <c r="AC97" s="66">
        <v>67</v>
      </c>
      <c r="AD97" s="66">
        <v>48</v>
      </c>
      <c r="AE97" s="66"/>
      <c r="AF97" s="66" t="s">
        <v>401</v>
      </c>
      <c r="AG97" s="66" t="s">
        <v>391</v>
      </c>
      <c r="AH97" s="66"/>
      <c r="AI97" s="66">
        <f>95+0</f>
        <v>95</v>
      </c>
    </row>
    <row r="98" spans="1:35" ht="171" x14ac:dyDescent="0.25">
      <c r="A98" s="58">
        <v>56</v>
      </c>
      <c r="B98" s="59" t="s">
        <v>299</v>
      </c>
      <c r="C98" s="60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первой группы огнезащитной эффективности по НПБ251
-----------------------------------------------------------------------
100 м2 обрабатываемой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-----------------------------------------------------------------------37 руб. НР 77%=100%*(0.9*0.85) от ФОТ (48 руб.)
23 руб. СП 48%=70%*(0.85*0.8) от ФОТ (48 руб.)
</v>
      </c>
      <c r="D98" s="61">
        <v>2.4E-2</v>
      </c>
      <c r="E98" s="62" t="s">
        <v>300</v>
      </c>
      <c r="F98" s="62" t="s">
        <v>301</v>
      </c>
      <c r="G98" s="62" t="s">
        <v>302</v>
      </c>
      <c r="H98" s="63" t="s">
        <v>303</v>
      </c>
      <c r="I98" s="64">
        <v>99</v>
      </c>
      <c r="J98" s="62">
        <v>48</v>
      </c>
      <c r="K98" s="62">
        <v>34</v>
      </c>
      <c r="L98" s="62" t="str">
        <f>IF(0.024*1.84=0," ",TEXT(,ROUND((0.024*1.84*16.82),0)))</f>
        <v>1</v>
      </c>
      <c r="M98" s="62"/>
      <c r="N98" s="62"/>
      <c r="O98" s="65"/>
      <c r="P98" s="65"/>
      <c r="Q98" s="65"/>
      <c r="R98" s="65"/>
      <c r="S98" s="65"/>
      <c r="T98" s="66"/>
      <c r="U98" s="66"/>
      <c r="V98" s="66"/>
      <c r="W98" s="66"/>
      <c r="X98" s="66"/>
      <c r="Y98" s="66"/>
      <c r="Z98" s="66"/>
      <c r="AA98" s="66" t="s">
        <v>173</v>
      </c>
      <c r="AB98" s="66" t="s">
        <v>107</v>
      </c>
      <c r="AC98" s="66">
        <v>37</v>
      </c>
      <c r="AD98" s="66">
        <v>23</v>
      </c>
      <c r="AE98" s="66" t="s">
        <v>233</v>
      </c>
      <c r="AF98" s="66" t="s">
        <v>305</v>
      </c>
      <c r="AG98" s="66" t="s">
        <v>306</v>
      </c>
      <c r="AH98" s="66"/>
      <c r="AI98" s="66">
        <f>48+0</f>
        <v>48</v>
      </c>
    </row>
    <row r="99" spans="1:35" ht="45.6" x14ac:dyDescent="0.25">
      <c r="A99" s="68">
        <v>57</v>
      </c>
      <c r="B99" s="69" t="s">
        <v>307</v>
      </c>
      <c r="C99" s="70" t="str">
        <f t="shared" ca="1" si="2"/>
        <v xml:space="preserve">Биопирен "Пирилакс-люкс"  209,09/5,63=37,14
-----------------------------------------------------------------------
кг
</v>
      </c>
      <c r="D99" s="71">
        <v>0.67</v>
      </c>
      <c r="E99" s="72">
        <v>37.14</v>
      </c>
      <c r="F99" s="72"/>
      <c r="G99" s="72" t="s">
        <v>308</v>
      </c>
      <c r="H99" s="73" t="s">
        <v>284</v>
      </c>
      <c r="I99" s="74">
        <v>141</v>
      </c>
      <c r="J99" s="72"/>
      <c r="K99" s="72"/>
      <c r="L99" s="72" t="str">
        <f>IF(0.67*37.14=0," ",TEXT(,ROUND((0.67*37.14*5.63),0)))</f>
        <v>140</v>
      </c>
      <c r="M99" s="72"/>
      <c r="N99" s="72"/>
      <c r="O99" s="65"/>
      <c r="P99" s="65"/>
      <c r="Q99" s="65"/>
      <c r="R99" s="65"/>
      <c r="S99" s="65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 t="s">
        <v>309</v>
      </c>
      <c r="AG99" s="66" t="s">
        <v>310</v>
      </c>
      <c r="AH99" s="66"/>
      <c r="AI99" s="66">
        <f>0+0</f>
        <v>0</v>
      </c>
    </row>
    <row r="100" spans="1:35" ht="34.200000000000003" x14ac:dyDescent="0.25">
      <c r="A100" s="90" t="s">
        <v>199</v>
      </c>
      <c r="B100" s="91"/>
      <c r="C100" s="91"/>
      <c r="D100" s="91"/>
      <c r="E100" s="91"/>
      <c r="F100" s="91"/>
      <c r="G100" s="91"/>
      <c r="H100" s="91"/>
      <c r="I100" s="64">
        <v>92001</v>
      </c>
      <c r="J100" s="62">
        <v>8897</v>
      </c>
      <c r="K100" s="62" t="s">
        <v>402</v>
      </c>
      <c r="L100" s="62">
        <v>81094</v>
      </c>
      <c r="M100" s="62"/>
      <c r="N100" s="62" t="s">
        <v>403</v>
      </c>
      <c r="O100" s="9"/>
      <c r="P100" s="10"/>
      <c r="Q100" s="9"/>
      <c r="R100" s="9"/>
      <c r="S100" s="9"/>
    </row>
    <row r="101" spans="1:35" ht="34.200000000000003" x14ac:dyDescent="0.25">
      <c r="A101" s="90" t="s">
        <v>202</v>
      </c>
      <c r="B101" s="91"/>
      <c r="C101" s="91"/>
      <c r="D101" s="91"/>
      <c r="E101" s="91"/>
      <c r="F101" s="91"/>
      <c r="G101" s="91"/>
      <c r="H101" s="91"/>
      <c r="I101" s="64">
        <v>611537</v>
      </c>
      <c r="J101" s="62">
        <v>141463</v>
      </c>
      <c r="K101" s="62" t="s">
        <v>404</v>
      </c>
      <c r="L101" s="62">
        <v>447895</v>
      </c>
      <c r="M101" s="62"/>
      <c r="N101" s="62" t="s">
        <v>403</v>
      </c>
      <c r="O101" s="9"/>
      <c r="P101" s="10"/>
      <c r="Q101" s="9"/>
      <c r="R101" s="9"/>
      <c r="S101" s="9"/>
    </row>
    <row r="102" spans="1:35" x14ac:dyDescent="0.25">
      <c r="A102" s="90" t="s">
        <v>204</v>
      </c>
      <c r="B102" s="91"/>
      <c r="C102" s="91"/>
      <c r="D102" s="91"/>
      <c r="E102" s="91"/>
      <c r="F102" s="91"/>
      <c r="G102" s="91"/>
      <c r="H102" s="91"/>
      <c r="I102" s="64">
        <v>128493</v>
      </c>
      <c r="J102" s="62"/>
      <c r="K102" s="62"/>
      <c r="L102" s="62"/>
      <c r="M102" s="62"/>
      <c r="N102" s="62"/>
      <c r="O102" s="9"/>
      <c r="P102" s="10"/>
      <c r="Q102" s="9"/>
      <c r="R102" s="9"/>
      <c r="S102" s="9"/>
    </row>
    <row r="103" spans="1:35" x14ac:dyDescent="0.25">
      <c r="A103" s="90" t="s">
        <v>205</v>
      </c>
      <c r="B103" s="91"/>
      <c r="C103" s="91"/>
      <c r="D103" s="91"/>
      <c r="E103" s="91"/>
      <c r="F103" s="91"/>
      <c r="G103" s="91"/>
      <c r="H103" s="91"/>
      <c r="I103" s="64">
        <v>64258</v>
      </c>
      <c r="J103" s="62"/>
      <c r="K103" s="62"/>
      <c r="L103" s="62"/>
      <c r="M103" s="62"/>
      <c r="N103" s="62"/>
      <c r="O103" s="9"/>
      <c r="P103" s="10"/>
      <c r="Q103" s="9"/>
      <c r="R103" s="9"/>
      <c r="S103" s="9"/>
    </row>
    <row r="104" spans="1:35" x14ac:dyDescent="0.25">
      <c r="A104" s="93" t="s">
        <v>405</v>
      </c>
      <c r="B104" s="94"/>
      <c r="C104" s="94"/>
      <c r="D104" s="94"/>
      <c r="E104" s="94"/>
      <c r="F104" s="94"/>
      <c r="G104" s="94"/>
      <c r="H104" s="94"/>
      <c r="I104" s="75"/>
      <c r="J104" s="76"/>
      <c r="K104" s="76"/>
      <c r="L104" s="76"/>
      <c r="M104" s="76"/>
      <c r="N104" s="76"/>
      <c r="O104" s="9"/>
      <c r="P104" s="10"/>
      <c r="Q104" s="9"/>
      <c r="R104" s="9"/>
      <c r="S104" s="9"/>
    </row>
    <row r="105" spans="1:35" x14ac:dyDescent="0.25">
      <c r="A105" s="90" t="s">
        <v>406</v>
      </c>
      <c r="B105" s="91"/>
      <c r="C105" s="91"/>
      <c r="D105" s="91"/>
      <c r="E105" s="91"/>
      <c r="F105" s="91"/>
      <c r="G105" s="91"/>
      <c r="H105" s="91"/>
      <c r="I105" s="64">
        <v>22895</v>
      </c>
      <c r="J105" s="62"/>
      <c r="K105" s="62"/>
      <c r="L105" s="62"/>
      <c r="M105" s="62"/>
      <c r="N105" s="62"/>
      <c r="O105" s="9"/>
      <c r="P105" s="10"/>
      <c r="Q105" s="9"/>
      <c r="R105" s="9"/>
      <c r="S105" s="9"/>
    </row>
    <row r="106" spans="1:35" x14ac:dyDescent="0.25">
      <c r="A106" s="90" t="s">
        <v>209</v>
      </c>
      <c r="B106" s="91"/>
      <c r="C106" s="91"/>
      <c r="D106" s="91"/>
      <c r="E106" s="91"/>
      <c r="F106" s="91"/>
      <c r="G106" s="91"/>
      <c r="H106" s="91"/>
      <c r="I106" s="64">
        <v>33272</v>
      </c>
      <c r="J106" s="62"/>
      <c r="K106" s="62"/>
      <c r="L106" s="62"/>
      <c r="M106" s="62"/>
      <c r="N106" s="62">
        <v>43.47</v>
      </c>
      <c r="O106" s="9"/>
      <c r="P106" s="10"/>
      <c r="Q106" s="9"/>
      <c r="R106" s="9"/>
      <c r="S106" s="9"/>
    </row>
    <row r="107" spans="1:35" ht="34.200000000000003" x14ac:dyDescent="0.25">
      <c r="A107" s="90" t="s">
        <v>407</v>
      </c>
      <c r="B107" s="91"/>
      <c r="C107" s="91"/>
      <c r="D107" s="91"/>
      <c r="E107" s="91"/>
      <c r="F107" s="91"/>
      <c r="G107" s="91"/>
      <c r="H107" s="91"/>
      <c r="I107" s="64">
        <v>656770</v>
      </c>
      <c r="J107" s="62"/>
      <c r="K107" s="62"/>
      <c r="L107" s="62"/>
      <c r="M107" s="62"/>
      <c r="N107" s="62" t="s">
        <v>408</v>
      </c>
      <c r="O107" s="9"/>
      <c r="P107" s="10"/>
      <c r="Q107" s="9"/>
      <c r="R107" s="9"/>
      <c r="S107" s="9"/>
    </row>
    <row r="108" spans="1:35" x14ac:dyDescent="0.25">
      <c r="A108" s="90" t="s">
        <v>212</v>
      </c>
      <c r="B108" s="91"/>
      <c r="C108" s="91"/>
      <c r="D108" s="91"/>
      <c r="E108" s="91"/>
      <c r="F108" s="91"/>
      <c r="G108" s="91"/>
      <c r="H108" s="91"/>
      <c r="I108" s="64">
        <v>27316</v>
      </c>
      <c r="J108" s="62"/>
      <c r="K108" s="62"/>
      <c r="L108" s="62"/>
      <c r="M108" s="62"/>
      <c r="N108" s="62">
        <v>3.92</v>
      </c>
      <c r="O108" s="9"/>
      <c r="P108" s="10"/>
      <c r="Q108" s="9"/>
      <c r="R108" s="9"/>
      <c r="S108" s="9"/>
    </row>
    <row r="109" spans="1:35" x14ac:dyDescent="0.25">
      <c r="A109" s="90" t="s">
        <v>409</v>
      </c>
      <c r="B109" s="91"/>
      <c r="C109" s="91"/>
      <c r="D109" s="91"/>
      <c r="E109" s="91"/>
      <c r="F109" s="91"/>
      <c r="G109" s="91"/>
      <c r="H109" s="91"/>
      <c r="I109" s="64">
        <v>61034</v>
      </c>
      <c r="J109" s="62"/>
      <c r="K109" s="62"/>
      <c r="L109" s="62"/>
      <c r="M109" s="62"/>
      <c r="N109" s="62"/>
      <c r="O109" s="9"/>
      <c r="P109" s="10"/>
      <c r="Q109" s="9"/>
      <c r="R109" s="9"/>
      <c r="S109" s="9"/>
    </row>
    <row r="110" spans="1:35" x14ac:dyDescent="0.25">
      <c r="A110" s="90" t="s">
        <v>410</v>
      </c>
      <c r="B110" s="91"/>
      <c r="C110" s="91"/>
      <c r="D110" s="91"/>
      <c r="E110" s="91"/>
      <c r="F110" s="91"/>
      <c r="G110" s="91"/>
      <c r="H110" s="91"/>
      <c r="I110" s="64">
        <v>895</v>
      </c>
      <c r="J110" s="62"/>
      <c r="K110" s="62"/>
      <c r="L110" s="62"/>
      <c r="M110" s="62"/>
      <c r="N110" s="62"/>
      <c r="O110" s="9"/>
      <c r="P110" s="10"/>
      <c r="Q110" s="9"/>
      <c r="R110" s="9"/>
      <c r="S110" s="9"/>
    </row>
    <row r="111" spans="1:35" x14ac:dyDescent="0.25">
      <c r="A111" s="90" t="s">
        <v>411</v>
      </c>
      <c r="B111" s="91"/>
      <c r="C111" s="91"/>
      <c r="D111" s="91"/>
      <c r="E111" s="91"/>
      <c r="F111" s="91"/>
      <c r="G111" s="91"/>
      <c r="H111" s="91"/>
      <c r="I111" s="64">
        <v>2106</v>
      </c>
      <c r="J111" s="62"/>
      <c r="K111" s="62"/>
      <c r="L111" s="62"/>
      <c r="M111" s="62"/>
      <c r="N111" s="62"/>
      <c r="O111" s="9"/>
      <c r="P111" s="10"/>
      <c r="Q111" s="9"/>
      <c r="R111" s="9"/>
      <c r="S111" s="9"/>
    </row>
    <row r="112" spans="1:35" ht="34.200000000000003" x14ac:dyDescent="0.25">
      <c r="A112" s="90" t="s">
        <v>217</v>
      </c>
      <c r="B112" s="91"/>
      <c r="C112" s="91"/>
      <c r="D112" s="91"/>
      <c r="E112" s="91"/>
      <c r="F112" s="91"/>
      <c r="G112" s="91"/>
      <c r="H112" s="91"/>
      <c r="I112" s="64">
        <v>804288</v>
      </c>
      <c r="J112" s="62"/>
      <c r="K112" s="62"/>
      <c r="L112" s="62"/>
      <c r="M112" s="62"/>
      <c r="N112" s="62" t="s">
        <v>403</v>
      </c>
      <c r="O112" s="9"/>
      <c r="P112" s="10"/>
      <c r="Q112" s="9"/>
      <c r="R112" s="9"/>
      <c r="S112" s="9"/>
    </row>
    <row r="113" spans="1:35" x14ac:dyDescent="0.25">
      <c r="A113" s="90" t="s">
        <v>218</v>
      </c>
      <c r="B113" s="91"/>
      <c r="C113" s="91"/>
      <c r="D113" s="91"/>
      <c r="E113" s="91"/>
      <c r="F113" s="91"/>
      <c r="G113" s="91"/>
      <c r="H113" s="91"/>
      <c r="I113" s="64"/>
      <c r="J113" s="62"/>
      <c r="K113" s="62"/>
      <c r="L113" s="62"/>
      <c r="M113" s="62"/>
      <c r="N113" s="62"/>
      <c r="O113" s="9"/>
      <c r="P113" s="10"/>
      <c r="Q113" s="9"/>
      <c r="R113" s="9"/>
      <c r="S113" s="9"/>
    </row>
    <row r="114" spans="1:35" x14ac:dyDescent="0.25">
      <c r="A114" s="90" t="s">
        <v>412</v>
      </c>
      <c r="B114" s="91"/>
      <c r="C114" s="91"/>
      <c r="D114" s="91"/>
      <c r="E114" s="91"/>
      <c r="F114" s="91"/>
      <c r="G114" s="91"/>
      <c r="H114" s="91"/>
      <c r="I114" s="64">
        <v>447895</v>
      </c>
      <c r="J114" s="62"/>
      <c r="K114" s="62"/>
      <c r="L114" s="62"/>
      <c r="M114" s="62"/>
      <c r="N114" s="62"/>
      <c r="O114" s="9"/>
      <c r="P114" s="10"/>
      <c r="Q114" s="9"/>
      <c r="R114" s="9"/>
      <c r="S114" s="9"/>
    </row>
    <row r="115" spans="1:35" x14ac:dyDescent="0.25">
      <c r="A115" s="90" t="s">
        <v>219</v>
      </c>
      <c r="B115" s="91"/>
      <c r="C115" s="91"/>
      <c r="D115" s="91"/>
      <c r="E115" s="91"/>
      <c r="F115" s="91"/>
      <c r="G115" s="91"/>
      <c r="H115" s="91"/>
      <c r="I115" s="64">
        <v>22179</v>
      </c>
      <c r="J115" s="62"/>
      <c r="K115" s="62"/>
      <c r="L115" s="62"/>
      <c r="M115" s="62"/>
      <c r="N115" s="62"/>
      <c r="O115" s="9"/>
      <c r="P115" s="10"/>
      <c r="Q115" s="9"/>
      <c r="R115" s="9"/>
      <c r="S115" s="9"/>
    </row>
    <row r="116" spans="1:35" x14ac:dyDescent="0.25">
      <c r="A116" s="90" t="s">
        <v>220</v>
      </c>
      <c r="B116" s="91"/>
      <c r="C116" s="91"/>
      <c r="D116" s="91"/>
      <c r="E116" s="91"/>
      <c r="F116" s="91"/>
      <c r="G116" s="91"/>
      <c r="H116" s="91"/>
      <c r="I116" s="64">
        <v>142910</v>
      </c>
      <c r="J116" s="62"/>
      <c r="K116" s="62"/>
      <c r="L116" s="62"/>
      <c r="M116" s="62"/>
      <c r="N116" s="62"/>
      <c r="O116" s="9"/>
      <c r="P116" s="10"/>
      <c r="Q116" s="9"/>
      <c r="R116" s="9"/>
      <c r="S116" s="9"/>
    </row>
    <row r="117" spans="1:35" x14ac:dyDescent="0.25">
      <c r="A117" s="90" t="s">
        <v>221</v>
      </c>
      <c r="B117" s="91"/>
      <c r="C117" s="91"/>
      <c r="D117" s="91"/>
      <c r="E117" s="91"/>
      <c r="F117" s="91"/>
      <c r="G117" s="91"/>
      <c r="H117" s="91"/>
      <c r="I117" s="64">
        <v>128493</v>
      </c>
      <c r="J117" s="62"/>
      <c r="K117" s="62"/>
      <c r="L117" s="62"/>
      <c r="M117" s="62"/>
      <c r="N117" s="62"/>
      <c r="O117" s="9"/>
      <c r="P117" s="10"/>
      <c r="Q117" s="9"/>
      <c r="R117" s="9"/>
      <c r="S117" s="9"/>
    </row>
    <row r="118" spans="1:35" x14ac:dyDescent="0.25">
      <c r="A118" s="90" t="s">
        <v>222</v>
      </c>
      <c r="B118" s="91"/>
      <c r="C118" s="91"/>
      <c r="D118" s="91"/>
      <c r="E118" s="91"/>
      <c r="F118" s="91"/>
      <c r="G118" s="91"/>
      <c r="H118" s="91"/>
      <c r="I118" s="64">
        <v>64258</v>
      </c>
      <c r="J118" s="62"/>
      <c r="K118" s="62"/>
      <c r="L118" s="62"/>
      <c r="M118" s="62"/>
      <c r="N118" s="62"/>
      <c r="O118" s="9"/>
      <c r="P118" s="10"/>
      <c r="Q118" s="9"/>
      <c r="R118" s="9"/>
      <c r="S118" s="9"/>
    </row>
    <row r="119" spans="1:35" ht="34.200000000000003" x14ac:dyDescent="0.25">
      <c r="A119" s="111" t="s">
        <v>413</v>
      </c>
      <c r="B119" s="112"/>
      <c r="C119" s="112"/>
      <c r="D119" s="112"/>
      <c r="E119" s="112"/>
      <c r="F119" s="112"/>
      <c r="G119" s="112"/>
      <c r="H119" s="112"/>
      <c r="I119" s="77">
        <v>804288</v>
      </c>
      <c r="J119" s="78"/>
      <c r="K119" s="78"/>
      <c r="L119" s="78"/>
      <c r="M119" s="78"/>
      <c r="N119" s="78" t="s">
        <v>403</v>
      </c>
      <c r="O119" s="9"/>
      <c r="P119" s="10"/>
      <c r="Q119" s="9"/>
      <c r="R119" s="9"/>
      <c r="S119" s="9"/>
    </row>
    <row r="120" spans="1:35" ht="18.45" customHeight="1" x14ac:dyDescent="0.25">
      <c r="A120" s="93" t="s">
        <v>414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</row>
    <row r="121" spans="1:35" ht="182.4" x14ac:dyDescent="0.25">
      <c r="A121" s="58">
        <v>58</v>
      </c>
      <c r="B121" s="59" t="s">
        <v>415</v>
      </c>
      <c r="C121" s="60" t="str">
        <f t="shared" ref="C121:C143" ca="1" si="4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Установка стропил
-----------------------------------------------------------------------
1 м3 древесины в конструкции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 МДС 81-35.2004 пр.1 т.3 п.11.2. Ремонт сложных кровель ОЗП=1,25; ЭМ=1,25 к расх.; ЗПМ=1,25; ТЗ=1,25; ТЗМ=1,25)
-----------------------------------------------------------------------73067 руб. НР 90%=118%*(0.9*0.85) от ФОТ (81185 руб.)
34910 руб. СП 43%=63%*(0.85*0.8) от ФОТ (81185 руб.)
</v>
      </c>
      <c r="D121" s="61">
        <v>17.55</v>
      </c>
      <c r="E121" s="62" t="s">
        <v>416</v>
      </c>
      <c r="F121" s="62" t="s">
        <v>417</v>
      </c>
      <c r="G121" s="62" t="s">
        <v>418</v>
      </c>
      <c r="H121" s="63" t="s">
        <v>419</v>
      </c>
      <c r="I121" s="64">
        <v>240723</v>
      </c>
      <c r="J121" s="62">
        <v>80295</v>
      </c>
      <c r="K121" s="62" t="s">
        <v>420</v>
      </c>
      <c r="L121" s="62" t="str">
        <f>IF(17.55*2062.26=0," ",TEXT(,ROUND((17.55*2062.26*4.11),0)))</f>
        <v>148752</v>
      </c>
      <c r="M121" s="62" t="s">
        <v>421</v>
      </c>
      <c r="N121" s="62" t="s">
        <v>422</v>
      </c>
      <c r="O121" s="65"/>
      <c r="P121" s="65"/>
      <c r="Q121" s="65"/>
      <c r="R121" s="65"/>
      <c r="S121" s="65"/>
      <c r="T121" s="66"/>
      <c r="U121" s="66"/>
      <c r="V121" s="66"/>
      <c r="W121" s="66"/>
      <c r="X121" s="66"/>
      <c r="Y121" s="66"/>
      <c r="Z121" s="66"/>
      <c r="AA121" s="66" t="s">
        <v>165</v>
      </c>
      <c r="AB121" s="66" t="s">
        <v>166</v>
      </c>
      <c r="AC121" s="66">
        <v>73067</v>
      </c>
      <c r="AD121" s="66">
        <v>34910</v>
      </c>
      <c r="AE121" s="79" t="s">
        <v>423</v>
      </c>
      <c r="AF121" s="66" t="s">
        <v>424</v>
      </c>
      <c r="AG121" s="66" t="s">
        <v>331</v>
      </c>
      <c r="AH121" s="66"/>
      <c r="AI121" s="66">
        <f>80295+890</f>
        <v>81185</v>
      </c>
    </row>
    <row r="122" spans="1:35" ht="136.80000000000001" x14ac:dyDescent="0.25">
      <c r="A122" s="58">
        <v>59</v>
      </c>
      <c r="B122" s="59" t="s">
        <v>425</v>
      </c>
      <c r="C122" s="60" t="str">
        <f t="shared" ca="1" si="4"/>
        <v xml:space="preserve">Устройство обрешетки с прозорами из досок и брусков под кровлю: из листовой стали
-----------------------------------------------------------------------
100 м2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-----------------------------------------------------------------------14100 руб. НР 71%=83%*0.85 от ФОТ (19859 руб.)
10327 руб. СП 52%=65%*0.8 от ФОТ (19859 руб.)
</v>
      </c>
      <c r="D122" s="61">
        <v>5.75</v>
      </c>
      <c r="E122" s="62" t="s">
        <v>426</v>
      </c>
      <c r="F122" s="62" t="s">
        <v>427</v>
      </c>
      <c r="G122" s="62" t="s">
        <v>428</v>
      </c>
      <c r="H122" s="63" t="s">
        <v>429</v>
      </c>
      <c r="I122" s="64">
        <v>70475</v>
      </c>
      <c r="J122" s="62">
        <v>19366</v>
      </c>
      <c r="K122" s="62" t="s">
        <v>430</v>
      </c>
      <c r="L122" s="62" t="str">
        <f>IF(5.75*1570.73=0," ",TEXT(,ROUND((5.75*1570.73*5.45),0)))</f>
        <v>49223</v>
      </c>
      <c r="M122" s="62" t="s">
        <v>431</v>
      </c>
      <c r="N122" s="62" t="s">
        <v>432</v>
      </c>
      <c r="O122" s="65"/>
      <c r="P122" s="65"/>
      <c r="Q122" s="65"/>
      <c r="R122" s="65"/>
      <c r="S122" s="65"/>
      <c r="T122" s="66"/>
      <c r="U122" s="66"/>
      <c r="V122" s="66"/>
      <c r="W122" s="66"/>
      <c r="X122" s="66"/>
      <c r="Y122" s="66"/>
      <c r="Z122" s="66"/>
      <c r="AA122" s="66" t="s">
        <v>116</v>
      </c>
      <c r="AB122" s="66" t="s">
        <v>117</v>
      </c>
      <c r="AC122" s="66">
        <v>14100</v>
      </c>
      <c r="AD122" s="66">
        <v>10327</v>
      </c>
      <c r="AE122" s="66" t="s">
        <v>118</v>
      </c>
      <c r="AF122" s="66" t="s">
        <v>433</v>
      </c>
      <c r="AG122" s="66" t="s">
        <v>342</v>
      </c>
      <c r="AH122" s="66"/>
      <c r="AI122" s="66">
        <f>19366+493</f>
        <v>19859</v>
      </c>
    </row>
    <row r="123" spans="1:35" ht="148.19999999999999" x14ac:dyDescent="0.25">
      <c r="A123" s="58">
        <v>60</v>
      </c>
      <c r="B123" s="59" t="s">
        <v>434</v>
      </c>
      <c r="C123" s="60" t="str">
        <f t="shared" ca="1" si="4"/>
        <v xml:space="preserve">Устройство: карнизов (подшивка карниза)
-----------------------------------------------------------------------
100 м2 стен, фронтонов (за вычетом проемов) и развернутых поверхностей карнизов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-----------------------------------------------------------------------8271 руб. НР 90%=118%*(0.9*0.85) от ФОТ (9190 руб.)
3952 руб. СП 43%=63%*(0.85*0.8) от ФОТ (9190 руб.)
</v>
      </c>
      <c r="D123" s="61">
        <v>0.41199999999999998</v>
      </c>
      <c r="E123" s="62" t="s">
        <v>435</v>
      </c>
      <c r="F123" s="62">
        <v>99.76</v>
      </c>
      <c r="G123" s="62" t="s">
        <v>436</v>
      </c>
      <c r="H123" s="63" t="s">
        <v>437</v>
      </c>
      <c r="I123" s="64">
        <v>24234</v>
      </c>
      <c r="J123" s="62">
        <v>9190</v>
      </c>
      <c r="K123" s="62">
        <v>472</v>
      </c>
      <c r="L123" s="62" t="str">
        <f>IF(0.412*4013.92=0," ",TEXT(,ROUND((0.412*4013.92*8.81),0)))</f>
        <v>14569</v>
      </c>
      <c r="M123" s="62">
        <v>164.45</v>
      </c>
      <c r="N123" s="62">
        <v>67.75</v>
      </c>
      <c r="O123" s="65"/>
      <c r="P123" s="65"/>
      <c r="Q123" s="65"/>
      <c r="R123" s="65"/>
      <c r="S123" s="65"/>
      <c r="T123" s="66"/>
      <c r="U123" s="66"/>
      <c r="V123" s="66"/>
      <c r="W123" s="66"/>
      <c r="X123" s="66"/>
      <c r="Y123" s="66"/>
      <c r="Z123" s="66"/>
      <c r="AA123" s="66" t="s">
        <v>165</v>
      </c>
      <c r="AB123" s="66" t="s">
        <v>166</v>
      </c>
      <c r="AC123" s="66">
        <v>8271</v>
      </c>
      <c r="AD123" s="66">
        <v>3952</v>
      </c>
      <c r="AE123" s="66" t="s">
        <v>233</v>
      </c>
      <c r="AF123" s="66" t="s">
        <v>438</v>
      </c>
      <c r="AG123" s="66" t="s">
        <v>379</v>
      </c>
      <c r="AH123" s="66"/>
      <c r="AI123" s="66">
        <f>9190+0</f>
        <v>9190</v>
      </c>
    </row>
    <row r="124" spans="1:35" ht="125.4" x14ac:dyDescent="0.25">
      <c r="A124" s="58">
        <v>61</v>
      </c>
      <c r="B124" s="59" t="s">
        <v>439</v>
      </c>
      <c r="C124" s="60" t="str">
        <f t="shared" ca="1" si="4"/>
        <v xml:space="preserve">Устройство обрешетки сплошной из досок
-----------------------------------------------------------------------
100 м2
-----------------------------------------------------------------------(МДС 81-35.2004 пр.1 т.3 п.11.2. Ремонт сложных кровель ОЗП=1,25; ЭМ=1,25 к расх.; ЗПМ=1,25; ТЗ=1,25; ТЗМ=1,25)
-----------------------------------------------------------------------1637 руб. НР 71%=83%*0.85 от ФОТ (2306 руб.)
1199 руб. СП 52%=65%*0.8 от ФОТ (2306 руб.)
</v>
      </c>
      <c r="D124" s="61">
        <v>0.45</v>
      </c>
      <c r="E124" s="62" t="s">
        <v>440</v>
      </c>
      <c r="F124" s="62" t="s">
        <v>441</v>
      </c>
      <c r="G124" s="62" t="s">
        <v>442</v>
      </c>
      <c r="H124" s="63" t="s">
        <v>443</v>
      </c>
      <c r="I124" s="64">
        <v>8152</v>
      </c>
      <c r="J124" s="62">
        <v>2258</v>
      </c>
      <c r="K124" s="62" t="s">
        <v>444</v>
      </c>
      <c r="L124" s="62" t="str">
        <f>IF(0.45*2198.68=0," ",TEXT(,ROUND((0.45*2198.68*5.72),0)))</f>
        <v>5659</v>
      </c>
      <c r="M124" s="62" t="s">
        <v>445</v>
      </c>
      <c r="N124" s="62" t="s">
        <v>446</v>
      </c>
      <c r="O124" s="65"/>
      <c r="P124" s="65"/>
      <c r="Q124" s="65"/>
      <c r="R124" s="65"/>
      <c r="S124" s="65"/>
      <c r="T124" s="66"/>
      <c r="U124" s="66"/>
      <c r="V124" s="66"/>
      <c r="W124" s="66"/>
      <c r="X124" s="66"/>
      <c r="Y124" s="66"/>
      <c r="Z124" s="66"/>
      <c r="AA124" s="66" t="s">
        <v>116</v>
      </c>
      <c r="AB124" s="66" t="s">
        <v>117</v>
      </c>
      <c r="AC124" s="66">
        <v>1637</v>
      </c>
      <c r="AD124" s="66">
        <v>1199</v>
      </c>
      <c r="AE124" s="66" t="s">
        <v>118</v>
      </c>
      <c r="AF124" s="66" t="s">
        <v>447</v>
      </c>
      <c r="AG124" s="66" t="s">
        <v>342</v>
      </c>
      <c r="AH124" s="66"/>
      <c r="AI124" s="66">
        <f>2258+48</f>
        <v>2306</v>
      </c>
    </row>
    <row r="125" spans="1:35" ht="91.2" x14ac:dyDescent="0.25">
      <c r="A125" s="58">
        <v>62</v>
      </c>
      <c r="B125" s="59" t="s">
        <v>236</v>
      </c>
      <c r="C125" s="60" t="str">
        <f t="shared" ca="1" si="4"/>
        <v xml:space="preserve">Устройство покрытия из рулонных материалов: насухо без промазки кромок
-----------------------------------------------------------------------
100 м2 кровли
-----------------------------------------------------------------------632 руб. НР 71%=83%*0.85 от ФОТ (890 руб.)
463 руб. СП 52%=65%*0.8 от ФОТ (890 руб.)
</v>
      </c>
      <c r="D125" s="61">
        <v>1.54</v>
      </c>
      <c r="E125" s="62" t="s">
        <v>237</v>
      </c>
      <c r="F125" s="62">
        <v>5.23</v>
      </c>
      <c r="G125" s="62" t="s">
        <v>238</v>
      </c>
      <c r="H125" s="63" t="s">
        <v>239</v>
      </c>
      <c r="I125" s="64">
        <v>8069</v>
      </c>
      <c r="J125" s="62">
        <v>890</v>
      </c>
      <c r="K125" s="62">
        <v>93</v>
      </c>
      <c r="L125" s="62" t="str">
        <f>IF(1.54*883.33=0," ",TEXT(,ROUND((1.54*883.33*5.21),0)))</f>
        <v>7087</v>
      </c>
      <c r="M125" s="62">
        <v>4.5199999999999996</v>
      </c>
      <c r="N125" s="62">
        <v>6.96</v>
      </c>
      <c r="O125" s="65"/>
      <c r="P125" s="65"/>
      <c r="Q125" s="65"/>
      <c r="R125" s="65"/>
      <c r="S125" s="65"/>
      <c r="T125" s="66"/>
      <c r="U125" s="66"/>
      <c r="V125" s="66"/>
      <c r="W125" s="66"/>
      <c r="X125" s="66"/>
      <c r="Y125" s="66"/>
      <c r="Z125" s="66"/>
      <c r="AA125" s="66" t="s">
        <v>116</v>
      </c>
      <c r="AB125" s="66" t="s">
        <v>117</v>
      </c>
      <c r="AC125" s="66">
        <v>632</v>
      </c>
      <c r="AD125" s="66">
        <v>463</v>
      </c>
      <c r="AE125" s="66"/>
      <c r="AF125" s="66" t="s">
        <v>240</v>
      </c>
      <c r="AG125" s="66" t="s">
        <v>120</v>
      </c>
      <c r="AH125" s="66"/>
      <c r="AI125" s="66">
        <f>890+0</f>
        <v>890</v>
      </c>
    </row>
    <row r="126" spans="1:35" ht="57" x14ac:dyDescent="0.25">
      <c r="A126" s="58">
        <v>63</v>
      </c>
      <c r="B126" s="59" t="s">
        <v>241</v>
      </c>
      <c r="C126" s="60" t="str">
        <f t="shared" ca="1" si="4"/>
        <v xml:space="preserve">Рубероид кровельный с крупнозернистой посыпкой марки РКК-350б
-----------------------------------------------------------------------
м2
</v>
      </c>
      <c r="D126" s="61">
        <v>-177.1</v>
      </c>
      <c r="E126" s="62">
        <v>7.46</v>
      </c>
      <c r="F126" s="62"/>
      <c r="G126" s="62" t="s">
        <v>242</v>
      </c>
      <c r="H126" s="63" t="s">
        <v>243</v>
      </c>
      <c r="I126" s="64">
        <v>-6915</v>
      </c>
      <c r="J126" s="62"/>
      <c r="K126" s="62"/>
      <c r="L126" s="62" t="str">
        <f>IF(-177.1*7.46=0," ",TEXT(,ROUND((-177.1*7.46*5.235),0)))</f>
        <v>-6916</v>
      </c>
      <c r="M126" s="62"/>
      <c r="N126" s="62"/>
      <c r="O126" s="65"/>
      <c r="P126" s="65"/>
      <c r="Q126" s="65"/>
      <c r="R126" s="65"/>
      <c r="S126" s="65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 t="s">
        <v>244</v>
      </c>
      <c r="AG126" s="66" t="s">
        <v>245</v>
      </c>
      <c r="AH126" s="66"/>
      <c r="AI126" s="66">
        <f>0+0</f>
        <v>0</v>
      </c>
    </row>
    <row r="127" spans="1:35" ht="52.8" x14ac:dyDescent="0.25">
      <c r="A127" s="58">
        <v>64</v>
      </c>
      <c r="B127" s="59" t="s">
        <v>448</v>
      </c>
      <c r="C127" s="60" t="str">
        <f t="shared" ca="1" si="4"/>
        <v xml:space="preserve">ИЗОСПАН D
-----------------------------------------------------------------------
10м2
</v>
      </c>
      <c r="D127" s="61">
        <v>17.71</v>
      </c>
      <c r="E127" s="62">
        <v>37.5</v>
      </c>
      <c r="F127" s="62"/>
      <c r="G127" s="62" t="s">
        <v>449</v>
      </c>
      <c r="H127" s="63" t="s">
        <v>450</v>
      </c>
      <c r="I127" s="64">
        <v>2963</v>
      </c>
      <c r="J127" s="62"/>
      <c r="K127" s="62"/>
      <c r="L127" s="62" t="str">
        <f>IF(17.71*37.5=0," ",TEXT(,ROUND((17.71*37.5*4.463),0)))</f>
        <v>2964</v>
      </c>
      <c r="M127" s="62"/>
      <c r="N127" s="62"/>
      <c r="O127" s="65"/>
      <c r="P127" s="65"/>
      <c r="Q127" s="65"/>
      <c r="R127" s="65"/>
      <c r="S127" s="65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 t="s">
        <v>451</v>
      </c>
      <c r="AG127" s="66" t="s">
        <v>250</v>
      </c>
      <c r="AH127" s="66"/>
      <c r="AI127" s="66">
        <f>0+0</f>
        <v>0</v>
      </c>
    </row>
    <row r="128" spans="1:35" ht="136.80000000000001" x14ac:dyDescent="0.25">
      <c r="A128" s="58">
        <v>65</v>
      </c>
      <c r="B128" s="59" t="s">
        <v>452</v>
      </c>
      <c r="C128" s="60" t="str">
        <f t="shared" ca="1" si="4"/>
        <v xml:space="preserve">Устройство желобов: настенных
-----------------------------------------------------------------------
100 м желобов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-----------------------------------------------------------------------13941 руб. НР 92%=120%*(0.9*0.85) от ФОТ (15153 руб.)
6667 руб. СП 44%=65%*(0.85*0.8) от ФОТ (15153 руб.)
</v>
      </c>
      <c r="D128" s="61">
        <v>1.1000000000000001</v>
      </c>
      <c r="E128" s="62" t="s">
        <v>453</v>
      </c>
      <c r="F128" s="62" t="s">
        <v>454</v>
      </c>
      <c r="G128" s="62" t="s">
        <v>455</v>
      </c>
      <c r="H128" s="63" t="s">
        <v>456</v>
      </c>
      <c r="I128" s="64">
        <v>104113</v>
      </c>
      <c r="J128" s="62">
        <v>14533</v>
      </c>
      <c r="K128" s="62" t="s">
        <v>457</v>
      </c>
      <c r="L128" s="62" t="str">
        <f>IF(1.1*17933.62=0," ",TEXT(,ROUND((1.1*17933.62*4.3),0)))</f>
        <v>84826</v>
      </c>
      <c r="M128" s="62" t="s">
        <v>458</v>
      </c>
      <c r="N128" s="62" t="s">
        <v>459</v>
      </c>
      <c r="O128" s="65"/>
      <c r="P128" s="65"/>
      <c r="Q128" s="65"/>
      <c r="R128" s="65"/>
      <c r="S128" s="65"/>
      <c r="T128" s="66"/>
      <c r="U128" s="66"/>
      <c r="V128" s="66"/>
      <c r="W128" s="66"/>
      <c r="X128" s="66"/>
      <c r="Y128" s="66"/>
      <c r="Z128" s="66"/>
      <c r="AA128" s="66" t="s">
        <v>258</v>
      </c>
      <c r="AB128" s="66" t="s">
        <v>174</v>
      </c>
      <c r="AC128" s="66">
        <v>13941</v>
      </c>
      <c r="AD128" s="66">
        <v>6667</v>
      </c>
      <c r="AE128" s="66" t="s">
        <v>233</v>
      </c>
      <c r="AF128" s="66" t="s">
        <v>460</v>
      </c>
      <c r="AG128" s="66" t="s">
        <v>461</v>
      </c>
      <c r="AH128" s="66"/>
      <c r="AI128" s="66">
        <f>14533+620</f>
        <v>15153</v>
      </c>
    </row>
    <row r="129" spans="1:35" ht="52.8" x14ac:dyDescent="0.25">
      <c r="A129" s="58">
        <v>66</v>
      </c>
      <c r="B129" s="59" t="s">
        <v>462</v>
      </c>
      <c r="C129" s="60" t="str">
        <f t="shared" ca="1" si="4"/>
        <v xml:space="preserve">Сталь листовая оцинкованная толщиной листа 0,7 мм
-----------------------------------------------------------------------
т
</v>
      </c>
      <c r="D129" s="61">
        <v>-1.1100000000000001</v>
      </c>
      <c r="E129" s="62">
        <v>11200</v>
      </c>
      <c r="F129" s="62"/>
      <c r="G129" s="62" t="s">
        <v>463</v>
      </c>
      <c r="H129" s="63" t="s">
        <v>464</v>
      </c>
      <c r="I129" s="64">
        <v>-42567</v>
      </c>
      <c r="J129" s="62"/>
      <c r="K129" s="62"/>
      <c r="L129" s="62" t="str">
        <f>IF(-1.11*11200=0," ",TEXT(,ROUND((-1.11*11200*3.424),0)))</f>
        <v>-42567</v>
      </c>
      <c r="M129" s="62"/>
      <c r="N129" s="62"/>
      <c r="O129" s="65"/>
      <c r="P129" s="65"/>
      <c r="Q129" s="65"/>
      <c r="R129" s="65"/>
      <c r="S129" s="65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 t="s">
        <v>465</v>
      </c>
      <c r="AG129" s="66" t="s">
        <v>354</v>
      </c>
      <c r="AH129" s="66"/>
      <c r="AI129" s="66">
        <f>0+0</f>
        <v>0</v>
      </c>
    </row>
    <row r="130" spans="1:35" ht="45.6" x14ac:dyDescent="0.25">
      <c r="A130" s="58">
        <v>67</v>
      </c>
      <c r="B130" s="59" t="s">
        <v>466</v>
      </c>
      <c r="C130" s="60" t="str">
        <f t="shared" ca="1" si="4"/>
        <v xml:space="preserve">Сталь листовая оцинкованная толщиной листа 0,55 мм
-----------------------------------------------------------------------
т
</v>
      </c>
      <c r="D130" s="61">
        <v>0.26100000000000001</v>
      </c>
      <c r="E130" s="62">
        <v>10484</v>
      </c>
      <c r="F130" s="62"/>
      <c r="G130" s="62" t="s">
        <v>467</v>
      </c>
      <c r="H130" s="63" t="s">
        <v>468</v>
      </c>
      <c r="I130" s="64">
        <v>10090</v>
      </c>
      <c r="J130" s="62"/>
      <c r="K130" s="62"/>
      <c r="L130" s="62" t="str">
        <f>IF(0.261*10484=0," ",TEXT(,ROUND((0.261*10484*3.688),0)))</f>
        <v>10092</v>
      </c>
      <c r="M130" s="62"/>
      <c r="N130" s="62"/>
      <c r="O130" s="65"/>
      <c r="P130" s="65"/>
      <c r="Q130" s="65"/>
      <c r="R130" s="65"/>
      <c r="S130" s="65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 t="s">
        <v>469</v>
      </c>
      <c r="AG130" s="66" t="s">
        <v>354</v>
      </c>
      <c r="AH130" s="66"/>
      <c r="AI130" s="66">
        <f>0+0</f>
        <v>0</v>
      </c>
    </row>
    <row r="131" spans="1:35" ht="45.6" x14ac:dyDescent="0.25">
      <c r="A131" s="58">
        <v>68</v>
      </c>
      <c r="B131" s="59" t="s">
        <v>466</v>
      </c>
      <c r="C131" s="60" t="str">
        <f t="shared" ca="1" si="4"/>
        <v xml:space="preserve">Сталь листовая оцинкованная толщиной листа 0,55 мм
-----------------------------------------------------------------------
т
</v>
      </c>
      <c r="D131" s="61">
        <v>0.59399999999999997</v>
      </c>
      <c r="E131" s="62">
        <v>10484</v>
      </c>
      <c r="F131" s="62"/>
      <c r="G131" s="62" t="s">
        <v>467</v>
      </c>
      <c r="H131" s="63" t="s">
        <v>468</v>
      </c>
      <c r="I131" s="64">
        <v>22965</v>
      </c>
      <c r="J131" s="62"/>
      <c r="K131" s="62"/>
      <c r="L131" s="62" t="str">
        <f>IF(0.594*10484=0," ",TEXT(,ROUND((0.594*10484*3.688),0)))</f>
        <v>22967</v>
      </c>
      <c r="M131" s="62"/>
      <c r="N131" s="62"/>
      <c r="O131" s="65"/>
      <c r="P131" s="65"/>
      <c r="Q131" s="65"/>
      <c r="R131" s="65"/>
      <c r="S131" s="65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 t="s">
        <v>469</v>
      </c>
      <c r="AG131" s="66" t="s">
        <v>354</v>
      </c>
      <c r="AH131" s="66"/>
      <c r="AI131" s="66">
        <f>0+0</f>
        <v>0</v>
      </c>
    </row>
    <row r="132" spans="1:35" ht="159.6" x14ac:dyDescent="0.25">
      <c r="A132" s="58">
        <v>69</v>
      </c>
      <c r="B132" s="59" t="s">
        <v>470</v>
      </c>
      <c r="C132" s="60" t="str">
        <f t="shared" ca="1" si="4"/>
        <v xml:space="preserve">Устройство кровли из металлочерепицы по готовым прогонам: сложная кровля
-----------------------------------------------------------------------
100 м2 кровли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-----------------------------------------------------------------------42684 руб. НР 92%=120%*(0.9*0.85) от ФОТ (46396 руб.)
20414 руб. СП 44%=65%*(0.85*0.8) от ФОТ (46396 руб.)
</v>
      </c>
      <c r="D132" s="61">
        <v>6.0449999999999999</v>
      </c>
      <c r="E132" s="62" t="s">
        <v>471</v>
      </c>
      <c r="F132" s="62" t="s">
        <v>472</v>
      </c>
      <c r="G132" s="62" t="s">
        <v>473</v>
      </c>
      <c r="H132" s="63" t="s">
        <v>474</v>
      </c>
      <c r="I132" s="64">
        <v>318486</v>
      </c>
      <c r="J132" s="62">
        <v>45108</v>
      </c>
      <c r="K132" s="62" t="s">
        <v>475</v>
      </c>
      <c r="L132" s="62" t="str">
        <f>IF(6.045*11178=0," ",TEXT(,ROUND((6.045*11178*3.9),0)))</f>
        <v>263527</v>
      </c>
      <c r="M132" s="62" t="s">
        <v>476</v>
      </c>
      <c r="N132" s="62" t="s">
        <v>477</v>
      </c>
      <c r="O132" s="65"/>
      <c r="P132" s="65"/>
      <c r="Q132" s="65"/>
      <c r="R132" s="65"/>
      <c r="S132" s="65"/>
      <c r="T132" s="66"/>
      <c r="U132" s="66"/>
      <c r="V132" s="66"/>
      <c r="W132" s="66"/>
      <c r="X132" s="66"/>
      <c r="Y132" s="66"/>
      <c r="Z132" s="66"/>
      <c r="AA132" s="66" t="s">
        <v>258</v>
      </c>
      <c r="AB132" s="66" t="s">
        <v>174</v>
      </c>
      <c r="AC132" s="66">
        <v>42684</v>
      </c>
      <c r="AD132" s="66">
        <v>20414</v>
      </c>
      <c r="AE132" s="66" t="s">
        <v>233</v>
      </c>
      <c r="AF132" s="66" t="s">
        <v>478</v>
      </c>
      <c r="AG132" s="66" t="s">
        <v>120</v>
      </c>
      <c r="AH132" s="66"/>
      <c r="AI132" s="66">
        <f>45108+1288</f>
        <v>46396</v>
      </c>
    </row>
    <row r="133" spans="1:35" ht="68.400000000000006" x14ac:dyDescent="0.25">
      <c r="A133" s="58">
        <v>70</v>
      </c>
      <c r="B133" s="59" t="s">
        <v>479</v>
      </c>
      <c r="C133" s="60" t="str">
        <f t="shared" ca="1" si="4"/>
        <v xml:space="preserve">Прокладки уплотнительные пенополиуретановые открытопористые для металлочерепицы (1800*50*50 мм)
-----------------------------------------------------------------------
м
</v>
      </c>
      <c r="D133" s="61">
        <v>-272</v>
      </c>
      <c r="E133" s="62">
        <v>25</v>
      </c>
      <c r="F133" s="62"/>
      <c r="G133" s="62" t="s">
        <v>480</v>
      </c>
      <c r="H133" s="63" t="s">
        <v>481</v>
      </c>
      <c r="I133" s="64">
        <v>-39590</v>
      </c>
      <c r="J133" s="62"/>
      <c r="K133" s="62"/>
      <c r="L133" s="62" t="str">
        <f>IF(-272*25=0," ",TEXT(,ROUND((-272*25*5.822),0)))</f>
        <v>-39590</v>
      </c>
      <c r="M133" s="62"/>
      <c r="N133" s="62"/>
      <c r="O133" s="65"/>
      <c r="P133" s="65"/>
      <c r="Q133" s="65"/>
      <c r="R133" s="65"/>
      <c r="S133" s="65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 t="s">
        <v>482</v>
      </c>
      <c r="AG133" s="66" t="s">
        <v>483</v>
      </c>
      <c r="AH133" s="66"/>
      <c r="AI133" s="66">
        <f t="shared" ref="AI133:AI139" si="5">0+0</f>
        <v>0</v>
      </c>
    </row>
    <row r="134" spans="1:35" ht="52.8" x14ac:dyDescent="0.25">
      <c r="A134" s="58">
        <v>71</v>
      </c>
      <c r="B134" s="59" t="s">
        <v>484</v>
      </c>
      <c r="C134" s="60" t="str">
        <f t="shared" ca="1" si="4"/>
        <v xml:space="preserve">Металлочерепица «Монтеррей»
-----------------------------------------------------------------------
м2
</v>
      </c>
      <c r="D134" s="61">
        <v>-846.3</v>
      </c>
      <c r="E134" s="62">
        <v>70.5</v>
      </c>
      <c r="F134" s="62"/>
      <c r="G134" s="62" t="s">
        <v>485</v>
      </c>
      <c r="H134" s="63" t="s">
        <v>486</v>
      </c>
      <c r="I134" s="64">
        <v>-222308</v>
      </c>
      <c r="J134" s="62"/>
      <c r="K134" s="62"/>
      <c r="L134" s="62" t="str">
        <f>IF(-846.3*70.5=0," ",TEXT(,ROUND((-846.3*70.5*3.726),0)))</f>
        <v>-222309</v>
      </c>
      <c r="M134" s="62"/>
      <c r="N134" s="62"/>
      <c r="O134" s="65"/>
      <c r="P134" s="65"/>
      <c r="Q134" s="65"/>
      <c r="R134" s="65"/>
      <c r="S134" s="65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 t="s">
        <v>487</v>
      </c>
      <c r="AG134" s="66" t="s">
        <v>245</v>
      </c>
      <c r="AH134" s="66"/>
      <c r="AI134" s="66">
        <f t="shared" si="5"/>
        <v>0</v>
      </c>
    </row>
    <row r="135" spans="1:35" ht="57" x14ac:dyDescent="0.25">
      <c r="A135" s="58">
        <v>72</v>
      </c>
      <c r="B135" s="59" t="s">
        <v>488</v>
      </c>
      <c r="C135" s="60" t="str">
        <f t="shared" ca="1" si="4"/>
        <v xml:space="preserve">Профилированный лист оцинкованный НС44-1000-0,7 604,5*1,1*8,3/1000=5,519
-----------------------------------------------------------------------
т
</v>
      </c>
      <c r="D135" s="61">
        <v>5.5190000000000001</v>
      </c>
      <c r="E135" s="62">
        <v>10090.379999999999</v>
      </c>
      <c r="F135" s="62"/>
      <c r="G135" s="62" t="s">
        <v>489</v>
      </c>
      <c r="H135" s="63" t="s">
        <v>490</v>
      </c>
      <c r="I135" s="64">
        <v>261627</v>
      </c>
      <c r="J135" s="62"/>
      <c r="K135" s="62"/>
      <c r="L135" s="62" t="str">
        <f>IF(5.519*10090.38=0," ",TEXT(,ROUND((5.519*10090.38*4.698),0)))</f>
        <v>261626</v>
      </c>
      <c r="M135" s="62"/>
      <c r="N135" s="62"/>
      <c r="O135" s="65"/>
      <c r="P135" s="65"/>
      <c r="Q135" s="65"/>
      <c r="R135" s="65"/>
      <c r="S135" s="65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 t="s">
        <v>491</v>
      </c>
      <c r="AG135" s="66" t="s">
        <v>354</v>
      </c>
      <c r="AH135" s="66"/>
      <c r="AI135" s="66">
        <f t="shared" si="5"/>
        <v>0</v>
      </c>
    </row>
    <row r="136" spans="1:35" ht="68.400000000000006" x14ac:dyDescent="0.25">
      <c r="A136" s="58">
        <v>73</v>
      </c>
      <c r="B136" s="59" t="s">
        <v>466</v>
      </c>
      <c r="C136" s="60" t="str">
        <f t="shared" ca="1" si="4"/>
        <v xml:space="preserve">Сталь листовая оцинкованная толщиной листа 0,55 мм (покрытие эркеров+по скату к ВК и фан.трубам,в ендовых,примыкание к ВК и СО и фан.трубам)
-----------------------------------------------------------------------
т
</v>
      </c>
      <c r="D136" s="61">
        <v>0.41599999999999998</v>
      </c>
      <c r="E136" s="62">
        <v>10484</v>
      </c>
      <c r="F136" s="62"/>
      <c r="G136" s="62" t="s">
        <v>467</v>
      </c>
      <c r="H136" s="63" t="s">
        <v>468</v>
      </c>
      <c r="I136" s="64">
        <v>16083</v>
      </c>
      <c r="J136" s="62"/>
      <c r="K136" s="62"/>
      <c r="L136" s="62" t="str">
        <f>IF(0.416*10484=0," ",TEXT(,ROUND((0.416*10484*3.688),0)))</f>
        <v>16085</v>
      </c>
      <c r="M136" s="62"/>
      <c r="N136" s="62"/>
      <c r="O136" s="65"/>
      <c r="P136" s="65"/>
      <c r="Q136" s="65"/>
      <c r="R136" s="65"/>
      <c r="S136" s="65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 t="s">
        <v>492</v>
      </c>
      <c r="AG136" s="66" t="s">
        <v>354</v>
      </c>
      <c r="AH136" s="66"/>
      <c r="AI136" s="66">
        <f t="shared" si="5"/>
        <v>0</v>
      </c>
    </row>
    <row r="137" spans="1:35" ht="57" x14ac:dyDescent="0.25">
      <c r="A137" s="58">
        <v>74</v>
      </c>
      <c r="B137" s="59" t="s">
        <v>69</v>
      </c>
      <c r="C137" s="60" t="str">
        <f t="shared" ca="1" si="4"/>
        <v xml:space="preserve">Коньковый элемент из оцинк.стали 600х2500 234/5,63=41,56
-----------------------------------------------------------------------
шт
</v>
      </c>
      <c r="D137" s="61">
        <v>31</v>
      </c>
      <c r="E137" s="62">
        <v>41.56</v>
      </c>
      <c r="F137" s="62"/>
      <c r="G137" s="62" t="s">
        <v>493</v>
      </c>
      <c r="H137" s="63" t="s">
        <v>284</v>
      </c>
      <c r="I137" s="64">
        <v>7251</v>
      </c>
      <c r="J137" s="62"/>
      <c r="K137" s="62"/>
      <c r="L137" s="62" t="str">
        <f>IF(31*41.56=0," ",TEXT(,ROUND((31*41.56*5.63),0)))</f>
        <v>7253</v>
      </c>
      <c r="M137" s="62"/>
      <c r="N137" s="62"/>
      <c r="O137" s="65"/>
      <c r="P137" s="65"/>
      <c r="Q137" s="65"/>
      <c r="R137" s="65"/>
      <c r="S137" s="65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 t="s">
        <v>494</v>
      </c>
      <c r="AG137" s="66" t="s">
        <v>495</v>
      </c>
      <c r="AH137" s="66"/>
      <c r="AI137" s="66">
        <f t="shared" si="5"/>
        <v>0</v>
      </c>
    </row>
    <row r="138" spans="1:35" ht="45.6" x14ac:dyDescent="0.25">
      <c r="A138" s="58">
        <v>75</v>
      </c>
      <c r="B138" s="59" t="s">
        <v>69</v>
      </c>
      <c r="C138" s="60" t="str">
        <f t="shared" ca="1" si="4"/>
        <v xml:space="preserve">Коньковый уплотнитель С-44-1000.А 80/5,63=14,21
-----------------------------------------------------------------------
м
</v>
      </c>
      <c r="D138" s="61">
        <v>213</v>
      </c>
      <c r="E138" s="62">
        <v>14.21</v>
      </c>
      <c r="F138" s="62"/>
      <c r="G138" s="62" t="s">
        <v>496</v>
      </c>
      <c r="H138" s="63" t="s">
        <v>284</v>
      </c>
      <c r="I138" s="64">
        <v>17042</v>
      </c>
      <c r="J138" s="62"/>
      <c r="K138" s="62"/>
      <c r="L138" s="62" t="str">
        <f>IF(213*14.21=0," ",TEXT(,ROUND((213*14.21*5.63),0)))</f>
        <v>17040</v>
      </c>
      <c r="M138" s="62"/>
      <c r="N138" s="62"/>
      <c r="O138" s="65"/>
      <c r="P138" s="65"/>
      <c r="Q138" s="65"/>
      <c r="R138" s="65"/>
      <c r="S138" s="65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 t="s">
        <v>497</v>
      </c>
      <c r="AG138" s="66" t="s">
        <v>483</v>
      </c>
      <c r="AH138" s="66"/>
      <c r="AI138" s="66">
        <f t="shared" si="5"/>
        <v>0</v>
      </c>
    </row>
    <row r="139" spans="1:35" ht="45.6" x14ac:dyDescent="0.25">
      <c r="A139" s="58">
        <v>76</v>
      </c>
      <c r="B139" s="59" t="s">
        <v>69</v>
      </c>
      <c r="C139" s="60" t="str">
        <f t="shared" ca="1" si="4"/>
        <v xml:space="preserve">Универсальный коньковый уплотнитель 130/5,63=23,09
-----------------------------------------------------------------------
шт
</v>
      </c>
      <c r="D139" s="61">
        <v>30</v>
      </c>
      <c r="E139" s="62">
        <v>23.09</v>
      </c>
      <c r="F139" s="62"/>
      <c r="G139" s="62" t="s">
        <v>498</v>
      </c>
      <c r="H139" s="63" t="s">
        <v>284</v>
      </c>
      <c r="I139" s="64">
        <v>3902</v>
      </c>
      <c r="J139" s="62"/>
      <c r="K139" s="62"/>
      <c r="L139" s="62" t="str">
        <f>IF(30*23.09=0," ",TEXT(,ROUND((30*23.09*5.63),0)))</f>
        <v>3900</v>
      </c>
      <c r="M139" s="62"/>
      <c r="N139" s="62"/>
      <c r="O139" s="65"/>
      <c r="P139" s="65"/>
      <c r="Q139" s="65"/>
      <c r="R139" s="65"/>
      <c r="S139" s="65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 t="s">
        <v>499</v>
      </c>
      <c r="AG139" s="66" t="s">
        <v>495</v>
      </c>
      <c r="AH139" s="66"/>
      <c r="AI139" s="66">
        <f t="shared" si="5"/>
        <v>0</v>
      </c>
    </row>
    <row r="140" spans="1:35" ht="182.4" x14ac:dyDescent="0.25">
      <c r="A140" s="58">
        <v>77</v>
      </c>
      <c r="B140" s="59" t="s">
        <v>299</v>
      </c>
      <c r="C140" s="60" t="str">
        <f t="shared" ca="1" si="4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первой группы огнезащитной эффективности по НПБ251
-----------------------------------------------------------------------
100 м2 обрабатываемой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-----------------------------------------------------------------------26653 руб. НР 77%=100%*(0.9*0.85) от ФОТ (34614 руб.)
16615 руб. СП 48%=70%*(0.85*0.8) от ФОТ (34614 руб.)
</v>
      </c>
      <c r="D140" s="61">
        <v>15.2</v>
      </c>
      <c r="E140" s="62" t="s">
        <v>300</v>
      </c>
      <c r="F140" s="62" t="s">
        <v>301</v>
      </c>
      <c r="G140" s="62" t="s">
        <v>302</v>
      </c>
      <c r="H140" s="63" t="s">
        <v>303</v>
      </c>
      <c r="I140" s="64">
        <v>59379</v>
      </c>
      <c r="J140" s="62">
        <v>34121</v>
      </c>
      <c r="K140" s="62" t="s">
        <v>500</v>
      </c>
      <c r="L140" s="62" t="str">
        <f>IF(15.2*1.84=0," ",TEXT(,ROUND((15.2*1.84*16.82),0)))</f>
        <v>470</v>
      </c>
      <c r="M140" s="62"/>
      <c r="N140" s="62"/>
      <c r="O140" s="65"/>
      <c r="P140" s="65"/>
      <c r="Q140" s="65"/>
      <c r="R140" s="65"/>
      <c r="S140" s="65"/>
      <c r="T140" s="66"/>
      <c r="U140" s="66"/>
      <c r="V140" s="66"/>
      <c r="W140" s="66"/>
      <c r="X140" s="66"/>
      <c r="Y140" s="66"/>
      <c r="Z140" s="66"/>
      <c r="AA140" s="66" t="s">
        <v>173</v>
      </c>
      <c r="AB140" s="66" t="s">
        <v>107</v>
      </c>
      <c r="AC140" s="66">
        <v>26653</v>
      </c>
      <c r="AD140" s="66">
        <v>16615</v>
      </c>
      <c r="AE140" s="66" t="s">
        <v>233</v>
      </c>
      <c r="AF140" s="66" t="s">
        <v>305</v>
      </c>
      <c r="AG140" s="66" t="s">
        <v>306</v>
      </c>
      <c r="AH140" s="66"/>
      <c r="AI140" s="66">
        <f>34121+493</f>
        <v>34614</v>
      </c>
    </row>
    <row r="141" spans="1:35" ht="45.6" x14ac:dyDescent="0.25">
      <c r="A141" s="58">
        <v>78</v>
      </c>
      <c r="B141" s="59" t="s">
        <v>307</v>
      </c>
      <c r="C141" s="60" t="str">
        <f t="shared" ca="1" si="4"/>
        <v xml:space="preserve">Биопирен "Пирилакс-люкс"  209/5,63=37,14
-----------------------------------------------------------------------
кг
</v>
      </c>
      <c r="D141" s="61">
        <v>425.6</v>
      </c>
      <c r="E141" s="62">
        <v>37.14</v>
      </c>
      <c r="F141" s="62"/>
      <c r="G141" s="62" t="s">
        <v>308</v>
      </c>
      <c r="H141" s="63" t="s">
        <v>284</v>
      </c>
      <c r="I141" s="64">
        <v>88993</v>
      </c>
      <c r="J141" s="62"/>
      <c r="K141" s="62"/>
      <c r="L141" s="62" t="str">
        <f>IF(425.6*37.14=0," ",TEXT(,ROUND((425.6*37.14*5.63),0)))</f>
        <v>88992</v>
      </c>
      <c r="M141" s="62"/>
      <c r="N141" s="62"/>
      <c r="O141" s="65"/>
      <c r="P141" s="65"/>
      <c r="Q141" s="65"/>
      <c r="R141" s="65"/>
      <c r="S141" s="65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 t="s">
        <v>501</v>
      </c>
      <c r="AG141" s="66" t="s">
        <v>310</v>
      </c>
      <c r="AH141" s="66"/>
      <c r="AI141" s="66">
        <f>0+0</f>
        <v>0</v>
      </c>
    </row>
    <row r="142" spans="1:35" ht="148.19999999999999" x14ac:dyDescent="0.25">
      <c r="A142" s="58">
        <v>79</v>
      </c>
      <c r="B142" s="59" t="s">
        <v>502</v>
      </c>
      <c r="C142" s="60" t="str">
        <f t="shared" ca="1" si="4"/>
        <v xml:space="preserve">Огрунтовка металлических поверхностей за один раз: грунтовкой ГФ-021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-----------------------------------------------------------------------318 руб. НР 69%=90%*(0.9*0.85) от ФОТ (461 руб.)
221 руб. СП 48%=70%*(0.85*0.8) от ФОТ (461 руб.)
</v>
      </c>
      <c r="D142" s="61">
        <v>0.45</v>
      </c>
      <c r="E142" s="62" t="s">
        <v>503</v>
      </c>
      <c r="F142" s="62" t="s">
        <v>504</v>
      </c>
      <c r="G142" s="62" t="s">
        <v>505</v>
      </c>
      <c r="H142" s="63" t="s">
        <v>506</v>
      </c>
      <c r="I142" s="64">
        <v>959</v>
      </c>
      <c r="J142" s="62">
        <v>461</v>
      </c>
      <c r="K142" s="62">
        <v>55</v>
      </c>
      <c r="L142" s="62" t="str">
        <f>IF(0.45*202.72=0," ",TEXT(,ROUND((0.45*202.72*4.81),0)))</f>
        <v>439</v>
      </c>
      <c r="M142" s="62" t="s">
        <v>507</v>
      </c>
      <c r="N142" s="62" t="s">
        <v>508</v>
      </c>
      <c r="O142" s="65"/>
      <c r="P142" s="65"/>
      <c r="Q142" s="65"/>
      <c r="R142" s="65"/>
      <c r="S142" s="65"/>
      <c r="T142" s="66"/>
      <c r="U142" s="66"/>
      <c r="V142" s="66"/>
      <c r="W142" s="66"/>
      <c r="X142" s="66"/>
      <c r="Y142" s="66"/>
      <c r="Z142" s="66"/>
      <c r="AA142" s="66" t="s">
        <v>509</v>
      </c>
      <c r="AB142" s="66" t="s">
        <v>107</v>
      </c>
      <c r="AC142" s="66">
        <v>318</v>
      </c>
      <c r="AD142" s="66">
        <v>221</v>
      </c>
      <c r="AE142" s="66" t="s">
        <v>233</v>
      </c>
      <c r="AF142" s="66" t="s">
        <v>510</v>
      </c>
      <c r="AG142" s="66" t="s">
        <v>511</v>
      </c>
      <c r="AH142" s="66"/>
      <c r="AI142" s="66">
        <f>461+0</f>
        <v>461</v>
      </c>
    </row>
    <row r="143" spans="1:35" ht="159.6" x14ac:dyDescent="0.25">
      <c r="A143" s="68">
        <v>80</v>
      </c>
      <c r="B143" s="69" t="s">
        <v>512</v>
      </c>
      <c r="C143" s="70" t="str">
        <f t="shared" ca="1" si="4"/>
        <v xml:space="preserve">Окраска металлических огрунтованных поверхностей: эмалью ПФ-115 к=2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 к расх.; ТЗМ=2)
-----------------------------------------------------------------------395 руб. НР 69%=90%*(0.9*0.85) от ФОТ (572 руб.)
275 руб. СП 48%=70%*(0.85*0.8) от ФОТ (572 руб.)
</v>
      </c>
      <c r="D143" s="71">
        <v>0.45</v>
      </c>
      <c r="E143" s="72" t="s">
        <v>513</v>
      </c>
      <c r="F143" s="72" t="s">
        <v>514</v>
      </c>
      <c r="G143" s="72" t="s">
        <v>515</v>
      </c>
      <c r="H143" s="73" t="s">
        <v>516</v>
      </c>
      <c r="I143" s="74">
        <v>2176</v>
      </c>
      <c r="J143" s="72">
        <v>572</v>
      </c>
      <c r="K143" s="72">
        <v>76</v>
      </c>
      <c r="L143" s="72" t="str">
        <f>IF(0.45*562.56=0," ",TEXT(,ROUND((0.45*562.56*6.04),0)))</f>
        <v>1529</v>
      </c>
      <c r="M143" s="72" t="s">
        <v>517</v>
      </c>
      <c r="N143" s="72" t="s">
        <v>518</v>
      </c>
      <c r="O143" s="65"/>
      <c r="P143" s="65"/>
      <c r="Q143" s="65"/>
      <c r="R143" s="65"/>
      <c r="S143" s="65"/>
      <c r="T143" s="66"/>
      <c r="U143" s="66"/>
      <c r="V143" s="66"/>
      <c r="W143" s="66"/>
      <c r="X143" s="66"/>
      <c r="Y143" s="66"/>
      <c r="Z143" s="66"/>
      <c r="AA143" s="66" t="s">
        <v>509</v>
      </c>
      <c r="AB143" s="66" t="s">
        <v>107</v>
      </c>
      <c r="AC143" s="66">
        <v>395</v>
      </c>
      <c r="AD143" s="66">
        <v>275</v>
      </c>
      <c r="AE143" s="79" t="s">
        <v>519</v>
      </c>
      <c r="AF143" s="66" t="s">
        <v>520</v>
      </c>
      <c r="AG143" s="66" t="s">
        <v>511</v>
      </c>
      <c r="AH143" s="66"/>
      <c r="AI143" s="66">
        <f>572+0</f>
        <v>572</v>
      </c>
    </row>
    <row r="144" spans="1:35" ht="34.200000000000003" x14ac:dyDescent="0.25">
      <c r="A144" s="90" t="s">
        <v>199</v>
      </c>
      <c r="B144" s="91"/>
      <c r="C144" s="91"/>
      <c r="D144" s="91"/>
      <c r="E144" s="91"/>
      <c r="F144" s="91"/>
      <c r="G144" s="91"/>
      <c r="H144" s="91"/>
      <c r="I144" s="64">
        <v>164963</v>
      </c>
      <c r="J144" s="62">
        <v>13006</v>
      </c>
      <c r="K144" s="62" t="s">
        <v>521</v>
      </c>
      <c r="L144" s="62">
        <v>147176</v>
      </c>
      <c r="M144" s="62"/>
      <c r="N144" s="62" t="s">
        <v>522</v>
      </c>
      <c r="O144" s="9"/>
      <c r="P144" s="10"/>
      <c r="Q144" s="9"/>
      <c r="R144" s="9"/>
      <c r="S144" s="9"/>
    </row>
    <row r="145" spans="1:19" ht="34.200000000000003" x14ac:dyDescent="0.25">
      <c r="A145" s="90" t="s">
        <v>202</v>
      </c>
      <c r="B145" s="91"/>
      <c r="C145" s="91"/>
      <c r="D145" s="91"/>
      <c r="E145" s="91"/>
      <c r="F145" s="91"/>
      <c r="G145" s="91"/>
      <c r="H145" s="91"/>
      <c r="I145" s="64">
        <v>956303</v>
      </c>
      <c r="J145" s="62">
        <v>206794</v>
      </c>
      <c r="K145" s="62" t="s">
        <v>523</v>
      </c>
      <c r="L145" s="62">
        <v>695634</v>
      </c>
      <c r="M145" s="62"/>
      <c r="N145" s="62" t="s">
        <v>522</v>
      </c>
      <c r="O145" s="9"/>
      <c r="P145" s="10"/>
      <c r="Q145" s="9"/>
      <c r="R145" s="9"/>
      <c r="S145" s="9"/>
    </row>
    <row r="146" spans="1:19" x14ac:dyDescent="0.25">
      <c r="A146" s="90" t="s">
        <v>204</v>
      </c>
      <c r="B146" s="91"/>
      <c r="C146" s="91"/>
      <c r="D146" s="91"/>
      <c r="E146" s="91"/>
      <c r="F146" s="91"/>
      <c r="G146" s="91"/>
      <c r="H146" s="91"/>
      <c r="I146" s="64">
        <v>181698</v>
      </c>
      <c r="J146" s="62"/>
      <c r="K146" s="62"/>
      <c r="L146" s="62"/>
      <c r="M146" s="62"/>
      <c r="N146" s="62"/>
      <c r="O146" s="9"/>
      <c r="P146" s="10"/>
      <c r="Q146" s="9"/>
      <c r="R146" s="9"/>
      <c r="S146" s="9"/>
    </row>
    <row r="147" spans="1:19" x14ac:dyDescent="0.25">
      <c r="A147" s="90" t="s">
        <v>205</v>
      </c>
      <c r="B147" s="91"/>
      <c r="C147" s="91"/>
      <c r="D147" s="91"/>
      <c r="E147" s="91"/>
      <c r="F147" s="91"/>
      <c r="G147" s="91"/>
      <c r="H147" s="91"/>
      <c r="I147" s="64">
        <v>95043</v>
      </c>
      <c r="J147" s="62"/>
      <c r="K147" s="62"/>
      <c r="L147" s="62"/>
      <c r="M147" s="62"/>
      <c r="N147" s="62"/>
      <c r="O147" s="9"/>
      <c r="P147" s="10"/>
      <c r="Q147" s="9"/>
      <c r="R147" s="9"/>
      <c r="S147" s="9"/>
    </row>
    <row r="148" spans="1:19" x14ac:dyDescent="0.25">
      <c r="A148" s="93" t="s">
        <v>524</v>
      </c>
      <c r="B148" s="94"/>
      <c r="C148" s="94"/>
      <c r="D148" s="94"/>
      <c r="E148" s="94"/>
      <c r="F148" s="94"/>
      <c r="G148" s="94"/>
      <c r="H148" s="94"/>
      <c r="I148" s="75"/>
      <c r="J148" s="76"/>
      <c r="K148" s="76"/>
      <c r="L148" s="76"/>
      <c r="M148" s="76"/>
      <c r="N148" s="76"/>
      <c r="O148" s="9"/>
      <c r="P148" s="10"/>
      <c r="Q148" s="9"/>
      <c r="R148" s="9"/>
      <c r="S148" s="9"/>
    </row>
    <row r="149" spans="1:19" ht="34.200000000000003" x14ac:dyDescent="0.25">
      <c r="A149" s="90" t="s">
        <v>212</v>
      </c>
      <c r="B149" s="91"/>
      <c r="C149" s="91"/>
      <c r="D149" s="91"/>
      <c r="E149" s="91"/>
      <c r="F149" s="91"/>
      <c r="G149" s="91"/>
      <c r="H149" s="91"/>
      <c r="I149" s="64">
        <v>385156</v>
      </c>
      <c r="J149" s="62"/>
      <c r="K149" s="62"/>
      <c r="L149" s="62"/>
      <c r="M149" s="62"/>
      <c r="N149" s="62" t="s">
        <v>525</v>
      </c>
      <c r="O149" s="9"/>
      <c r="P149" s="10"/>
      <c r="Q149" s="9"/>
      <c r="R149" s="9"/>
      <c r="S149" s="9"/>
    </row>
    <row r="150" spans="1:19" ht="34.200000000000003" x14ac:dyDescent="0.25">
      <c r="A150" s="90" t="s">
        <v>209</v>
      </c>
      <c r="B150" s="91"/>
      <c r="C150" s="91"/>
      <c r="D150" s="91"/>
      <c r="E150" s="91"/>
      <c r="F150" s="91"/>
      <c r="G150" s="91"/>
      <c r="H150" s="91"/>
      <c r="I150" s="64">
        <v>111102</v>
      </c>
      <c r="J150" s="62"/>
      <c r="K150" s="62"/>
      <c r="L150" s="62"/>
      <c r="M150" s="62"/>
      <c r="N150" s="62" t="s">
        <v>526</v>
      </c>
      <c r="O150" s="9"/>
      <c r="P150" s="10"/>
      <c r="Q150" s="9"/>
      <c r="R150" s="9"/>
      <c r="S150" s="9"/>
    </row>
    <row r="151" spans="1:19" ht="34.200000000000003" x14ac:dyDescent="0.25">
      <c r="A151" s="90" t="s">
        <v>407</v>
      </c>
      <c r="B151" s="91"/>
      <c r="C151" s="91"/>
      <c r="D151" s="91"/>
      <c r="E151" s="91"/>
      <c r="F151" s="91"/>
      <c r="G151" s="91"/>
      <c r="H151" s="91"/>
      <c r="I151" s="64">
        <v>540802</v>
      </c>
      <c r="J151" s="62"/>
      <c r="K151" s="62"/>
      <c r="L151" s="62"/>
      <c r="M151" s="62"/>
      <c r="N151" s="62" t="s">
        <v>527</v>
      </c>
      <c r="O151" s="9"/>
      <c r="P151" s="10"/>
      <c r="Q151" s="9"/>
      <c r="R151" s="9"/>
      <c r="S151" s="9"/>
    </row>
    <row r="152" spans="1:19" x14ac:dyDescent="0.25">
      <c r="A152" s="90" t="s">
        <v>409</v>
      </c>
      <c r="B152" s="91"/>
      <c r="C152" s="91"/>
      <c r="D152" s="91"/>
      <c r="E152" s="91"/>
      <c r="F152" s="91"/>
      <c r="G152" s="91"/>
      <c r="H152" s="91"/>
      <c r="I152" s="64">
        <v>191640</v>
      </c>
      <c r="J152" s="62"/>
      <c r="K152" s="62"/>
      <c r="L152" s="62"/>
      <c r="M152" s="62"/>
      <c r="N152" s="62"/>
      <c r="O152" s="9"/>
      <c r="P152" s="10"/>
      <c r="Q152" s="9"/>
      <c r="R152" s="9"/>
      <c r="S152" s="9"/>
    </row>
    <row r="153" spans="1:19" ht="34.200000000000003" x14ac:dyDescent="0.25">
      <c r="A153" s="90" t="s">
        <v>528</v>
      </c>
      <c r="B153" s="91"/>
      <c r="C153" s="91"/>
      <c r="D153" s="91"/>
      <c r="E153" s="91"/>
      <c r="F153" s="91"/>
      <c r="G153" s="91"/>
      <c r="H153" s="91"/>
      <c r="I153" s="64">
        <v>4344</v>
      </c>
      <c r="J153" s="62"/>
      <c r="K153" s="62"/>
      <c r="L153" s="62"/>
      <c r="M153" s="62"/>
      <c r="N153" s="62" t="s">
        <v>529</v>
      </c>
      <c r="O153" s="9"/>
      <c r="P153" s="10"/>
      <c r="Q153" s="9"/>
      <c r="R153" s="9"/>
      <c r="S153" s="9"/>
    </row>
    <row r="154" spans="1:19" ht="34.200000000000003" x14ac:dyDescent="0.25">
      <c r="A154" s="90" t="s">
        <v>217</v>
      </c>
      <c r="B154" s="91"/>
      <c r="C154" s="91"/>
      <c r="D154" s="91"/>
      <c r="E154" s="91"/>
      <c r="F154" s="91"/>
      <c r="G154" s="91"/>
      <c r="H154" s="91"/>
      <c r="I154" s="64">
        <v>1233044</v>
      </c>
      <c r="J154" s="62"/>
      <c r="K154" s="62"/>
      <c r="L154" s="62"/>
      <c r="M154" s="62"/>
      <c r="N154" s="62" t="s">
        <v>522</v>
      </c>
      <c r="O154" s="9"/>
      <c r="P154" s="10"/>
      <c r="Q154" s="9"/>
      <c r="R154" s="9"/>
      <c r="S154" s="9"/>
    </row>
    <row r="155" spans="1:19" x14ac:dyDescent="0.25">
      <c r="A155" s="90" t="s">
        <v>218</v>
      </c>
      <c r="B155" s="91"/>
      <c r="C155" s="91"/>
      <c r="D155" s="91"/>
      <c r="E155" s="91"/>
      <c r="F155" s="91"/>
      <c r="G155" s="91"/>
      <c r="H155" s="91"/>
      <c r="I155" s="64"/>
      <c r="J155" s="62"/>
      <c r="K155" s="62"/>
      <c r="L155" s="62"/>
      <c r="M155" s="62"/>
      <c r="N155" s="62"/>
      <c r="O155" s="9"/>
      <c r="P155" s="10"/>
      <c r="Q155" s="9"/>
      <c r="R155" s="9"/>
      <c r="S155" s="9"/>
    </row>
    <row r="156" spans="1:19" x14ac:dyDescent="0.25">
      <c r="A156" s="90" t="s">
        <v>412</v>
      </c>
      <c r="B156" s="91"/>
      <c r="C156" s="91"/>
      <c r="D156" s="91"/>
      <c r="E156" s="91"/>
      <c r="F156" s="91"/>
      <c r="G156" s="91"/>
      <c r="H156" s="91"/>
      <c r="I156" s="64">
        <v>695634</v>
      </c>
      <c r="J156" s="62"/>
      <c r="K156" s="62"/>
      <c r="L156" s="62"/>
      <c r="M156" s="62"/>
      <c r="N156" s="62"/>
      <c r="O156" s="9"/>
      <c r="P156" s="10"/>
      <c r="Q156" s="9"/>
      <c r="R156" s="9"/>
      <c r="S156" s="9"/>
    </row>
    <row r="157" spans="1:19" x14ac:dyDescent="0.25">
      <c r="A157" s="90" t="s">
        <v>219</v>
      </c>
      <c r="B157" s="91"/>
      <c r="C157" s="91"/>
      <c r="D157" s="91"/>
      <c r="E157" s="91"/>
      <c r="F157" s="91"/>
      <c r="G157" s="91"/>
      <c r="H157" s="91"/>
      <c r="I157" s="64">
        <v>53875</v>
      </c>
      <c r="J157" s="62"/>
      <c r="K157" s="62"/>
      <c r="L157" s="62"/>
      <c r="M157" s="62"/>
      <c r="N157" s="62"/>
      <c r="O157" s="9"/>
      <c r="P157" s="10"/>
      <c r="Q157" s="9"/>
      <c r="R157" s="9"/>
      <c r="S157" s="9"/>
    </row>
    <row r="158" spans="1:19" x14ac:dyDescent="0.25">
      <c r="A158" s="90" t="s">
        <v>220</v>
      </c>
      <c r="B158" s="91"/>
      <c r="C158" s="91"/>
      <c r="D158" s="91"/>
      <c r="E158" s="91"/>
      <c r="F158" s="91"/>
      <c r="G158" s="91"/>
      <c r="H158" s="91"/>
      <c r="I158" s="64">
        <v>210626</v>
      </c>
      <c r="J158" s="62"/>
      <c r="K158" s="62"/>
      <c r="L158" s="62"/>
      <c r="M158" s="62"/>
      <c r="N158" s="62"/>
      <c r="O158" s="9"/>
      <c r="P158" s="10"/>
      <c r="Q158" s="9"/>
      <c r="R158" s="9"/>
      <c r="S158" s="9"/>
    </row>
    <row r="159" spans="1:19" x14ac:dyDescent="0.25">
      <c r="A159" s="90" t="s">
        <v>221</v>
      </c>
      <c r="B159" s="91"/>
      <c r="C159" s="91"/>
      <c r="D159" s="91"/>
      <c r="E159" s="91"/>
      <c r="F159" s="91"/>
      <c r="G159" s="91"/>
      <c r="H159" s="91"/>
      <c r="I159" s="64">
        <v>181698</v>
      </c>
      <c r="J159" s="62"/>
      <c r="K159" s="62"/>
      <c r="L159" s="62"/>
      <c r="M159" s="62"/>
      <c r="N159" s="62"/>
      <c r="O159" s="9"/>
      <c r="P159" s="10"/>
      <c r="Q159" s="9"/>
      <c r="R159" s="9"/>
      <c r="S159" s="9"/>
    </row>
    <row r="160" spans="1:19" x14ac:dyDescent="0.25">
      <c r="A160" s="90" t="s">
        <v>222</v>
      </c>
      <c r="B160" s="91"/>
      <c r="C160" s="91"/>
      <c r="D160" s="91"/>
      <c r="E160" s="91"/>
      <c r="F160" s="91"/>
      <c r="G160" s="91"/>
      <c r="H160" s="91"/>
      <c r="I160" s="64">
        <v>95043</v>
      </c>
      <c r="J160" s="62"/>
      <c r="K160" s="62"/>
      <c r="L160" s="62"/>
      <c r="M160" s="62"/>
      <c r="N160" s="62"/>
      <c r="O160" s="9"/>
      <c r="P160" s="10"/>
      <c r="Q160" s="9"/>
      <c r="R160" s="9"/>
      <c r="S160" s="9"/>
    </row>
    <row r="161" spans="1:35" ht="34.200000000000003" x14ac:dyDescent="0.25">
      <c r="A161" s="111" t="s">
        <v>530</v>
      </c>
      <c r="B161" s="112"/>
      <c r="C161" s="112"/>
      <c r="D161" s="112"/>
      <c r="E161" s="112"/>
      <c r="F161" s="112"/>
      <c r="G161" s="112"/>
      <c r="H161" s="112"/>
      <c r="I161" s="77">
        <v>1233044</v>
      </c>
      <c r="J161" s="78"/>
      <c r="K161" s="78"/>
      <c r="L161" s="78"/>
      <c r="M161" s="78"/>
      <c r="N161" s="78" t="s">
        <v>522</v>
      </c>
      <c r="O161" s="9"/>
      <c r="P161" s="10"/>
      <c r="Q161" s="9"/>
      <c r="R161" s="9"/>
      <c r="S161" s="9"/>
    </row>
    <row r="162" spans="1:35" ht="18.45" customHeight="1" x14ac:dyDescent="0.25">
      <c r="A162" s="93" t="s">
        <v>531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</row>
    <row r="163" spans="1:35" ht="136.80000000000001" x14ac:dyDescent="0.25">
      <c r="A163" s="58">
        <v>81</v>
      </c>
      <c r="B163" s="59" t="s">
        <v>532</v>
      </c>
      <c r="C163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Устройство слуховых окон
-----------------------------------------------------------------------
1 слуховое окно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-----------------------------------------------------------------------1918 руб. НР 90%=118%*(0.9*0.85) от ФОТ (2131 руб.)
916 руб. СП 43%=63%*(0.85*0.8) от ФОТ (2131 руб.)
</v>
      </c>
      <c r="D163" s="61">
        <v>2</v>
      </c>
      <c r="E163" s="62" t="s">
        <v>533</v>
      </c>
      <c r="F163" s="62" t="s">
        <v>534</v>
      </c>
      <c r="G163" s="62" t="s">
        <v>535</v>
      </c>
      <c r="H163" s="63" t="s">
        <v>536</v>
      </c>
      <c r="I163" s="64">
        <v>5999</v>
      </c>
      <c r="J163" s="62">
        <v>2067</v>
      </c>
      <c r="K163" s="62" t="s">
        <v>537</v>
      </c>
      <c r="L163" s="62" t="str">
        <f>IF(2*300.2=0," ",TEXT(,ROUND((2*300.2*5.5),0)))</f>
        <v>3302</v>
      </c>
      <c r="M163" s="62"/>
      <c r="N163" s="62"/>
      <c r="O163" s="65"/>
      <c r="P163" s="65"/>
      <c r="Q163" s="65"/>
      <c r="R163" s="65"/>
      <c r="S163" s="65"/>
      <c r="T163" s="66"/>
      <c r="U163" s="66"/>
      <c r="V163" s="66"/>
      <c r="W163" s="66"/>
      <c r="X163" s="66"/>
      <c r="Y163" s="66"/>
      <c r="Z163" s="66"/>
      <c r="AA163" s="66" t="s">
        <v>165</v>
      </c>
      <c r="AB163" s="66" t="s">
        <v>166</v>
      </c>
      <c r="AC163" s="66">
        <v>1918</v>
      </c>
      <c r="AD163" s="66">
        <v>916</v>
      </c>
      <c r="AE163" s="66" t="s">
        <v>233</v>
      </c>
      <c r="AF163" s="66" t="s">
        <v>538</v>
      </c>
      <c r="AG163" s="66" t="s">
        <v>539</v>
      </c>
      <c r="AH163" s="66"/>
      <c r="AI163" s="66">
        <f>2067+64</f>
        <v>2131</v>
      </c>
    </row>
    <row r="164" spans="1:35" ht="57" x14ac:dyDescent="0.25">
      <c r="A164" s="58">
        <v>82</v>
      </c>
      <c r="B164" s="59" t="s">
        <v>540</v>
      </c>
      <c r="C164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Шпингалеты дверные размером 230х26 мм, оцинкованные или окрашенные
-----------------------------------------------------------------------
компл.
</v>
      </c>
      <c r="D164" s="61">
        <v>2</v>
      </c>
      <c r="E164" s="62">
        <v>13.42</v>
      </c>
      <c r="F164" s="62"/>
      <c r="G164" s="62" t="s">
        <v>541</v>
      </c>
      <c r="H164" s="63" t="s">
        <v>542</v>
      </c>
      <c r="I164" s="64">
        <v>143</v>
      </c>
      <c r="J164" s="62"/>
      <c r="K164" s="62"/>
      <c r="L164" s="62" t="str">
        <f>IF(2*13.42=0," ",TEXT(,ROUND((2*13.42*5.297),0)))</f>
        <v>142</v>
      </c>
      <c r="M164" s="62"/>
      <c r="N164" s="62"/>
      <c r="O164" s="65"/>
      <c r="P164" s="65"/>
      <c r="Q164" s="65"/>
      <c r="R164" s="65"/>
      <c r="S164" s="65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 t="s">
        <v>543</v>
      </c>
      <c r="AG164" s="66" t="s">
        <v>544</v>
      </c>
      <c r="AH164" s="66"/>
      <c r="AI164" s="66">
        <f>0+0</f>
        <v>0</v>
      </c>
    </row>
    <row r="165" spans="1:35" ht="45.6" x14ac:dyDescent="0.25">
      <c r="A165" s="58">
        <v>83</v>
      </c>
      <c r="B165" s="59" t="s">
        <v>545</v>
      </c>
      <c r="C165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Петли форточные накладные размером 70х55 мм
-----------------------------------------------------------------------
компл.
</v>
      </c>
      <c r="D165" s="61">
        <v>2</v>
      </c>
      <c r="E165" s="62">
        <v>3.74</v>
      </c>
      <c r="F165" s="62"/>
      <c r="G165" s="62" t="s">
        <v>546</v>
      </c>
      <c r="H165" s="63" t="s">
        <v>547</v>
      </c>
      <c r="I165" s="64">
        <v>13</v>
      </c>
      <c r="J165" s="62"/>
      <c r="K165" s="62"/>
      <c r="L165" s="62" t="str">
        <f>IF(2*3.74=0," ",TEXT(,ROUND((2*3.74*1.875),0)))</f>
        <v>14</v>
      </c>
      <c r="M165" s="62"/>
      <c r="N165" s="62"/>
      <c r="O165" s="65"/>
      <c r="P165" s="65"/>
      <c r="Q165" s="65"/>
      <c r="R165" s="65"/>
      <c r="S165" s="65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 t="s">
        <v>548</v>
      </c>
      <c r="AG165" s="66" t="s">
        <v>544</v>
      </c>
      <c r="AH165" s="66"/>
      <c r="AI165" s="66">
        <f>0+0</f>
        <v>0</v>
      </c>
    </row>
    <row r="166" spans="1:35" ht="136.80000000000001" x14ac:dyDescent="0.25">
      <c r="A166" s="68">
        <v>84</v>
      </c>
      <c r="B166" s="69" t="s">
        <v>291</v>
      </c>
      <c r="C166" s="7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Укладка ходовых досок
-----------------------------------------------------------------------
100 м ходов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-----------------------------------------------------------------------14 руб. НР 90%=118%*(0.9*0.85) от ФОТ (16 руб.)
7 руб. СП 43%=63%*(0.85*0.8) от ФОТ (16 руб.)
</v>
      </c>
      <c r="D166" s="71">
        <v>3.4000000000000002E-2</v>
      </c>
      <c r="E166" s="72" t="s">
        <v>292</v>
      </c>
      <c r="F166" s="72" t="s">
        <v>293</v>
      </c>
      <c r="G166" s="72" t="s">
        <v>294</v>
      </c>
      <c r="H166" s="73" t="s">
        <v>295</v>
      </c>
      <c r="I166" s="74">
        <v>216</v>
      </c>
      <c r="J166" s="72">
        <v>16</v>
      </c>
      <c r="K166" s="72">
        <v>11</v>
      </c>
      <c r="L166" s="72" t="str">
        <f>IF(0.034*1007.15=0," ",TEXT(,ROUND((0.034*1007.15*5.55),0)))</f>
        <v>190</v>
      </c>
      <c r="M166" s="72"/>
      <c r="N166" s="72"/>
      <c r="O166" s="65"/>
      <c r="P166" s="65"/>
      <c r="Q166" s="65"/>
      <c r="R166" s="65"/>
      <c r="S166" s="65"/>
      <c r="T166" s="66"/>
      <c r="U166" s="66"/>
      <c r="V166" s="66"/>
      <c r="W166" s="66"/>
      <c r="X166" s="66"/>
      <c r="Y166" s="66"/>
      <c r="Z166" s="66"/>
      <c r="AA166" s="66" t="s">
        <v>165</v>
      </c>
      <c r="AB166" s="66" t="s">
        <v>166</v>
      </c>
      <c r="AC166" s="66">
        <v>14</v>
      </c>
      <c r="AD166" s="66">
        <v>7</v>
      </c>
      <c r="AE166" s="66" t="s">
        <v>233</v>
      </c>
      <c r="AF166" s="66" t="s">
        <v>549</v>
      </c>
      <c r="AG166" s="66" t="s">
        <v>298</v>
      </c>
      <c r="AH166" s="66"/>
      <c r="AI166" s="66">
        <f>16+0</f>
        <v>16</v>
      </c>
    </row>
    <row r="167" spans="1:35" ht="34.200000000000003" x14ac:dyDescent="0.25">
      <c r="A167" s="90" t="s">
        <v>199</v>
      </c>
      <c r="B167" s="91"/>
      <c r="C167" s="91"/>
      <c r="D167" s="91"/>
      <c r="E167" s="91"/>
      <c r="F167" s="91"/>
      <c r="G167" s="91"/>
      <c r="H167" s="91"/>
      <c r="I167" s="64">
        <v>856</v>
      </c>
      <c r="J167" s="62">
        <v>131</v>
      </c>
      <c r="K167" s="62" t="s">
        <v>550</v>
      </c>
      <c r="L167" s="62">
        <v>669</v>
      </c>
      <c r="M167" s="62"/>
      <c r="N167" s="62"/>
      <c r="O167" s="9"/>
      <c r="P167" s="10"/>
      <c r="Q167" s="9"/>
      <c r="R167" s="9"/>
      <c r="S167" s="9"/>
    </row>
    <row r="168" spans="1:35" ht="34.200000000000003" x14ac:dyDescent="0.25">
      <c r="A168" s="90" t="s">
        <v>202</v>
      </c>
      <c r="B168" s="91"/>
      <c r="C168" s="91"/>
      <c r="D168" s="91"/>
      <c r="E168" s="91"/>
      <c r="F168" s="91"/>
      <c r="G168" s="91"/>
      <c r="H168" s="91"/>
      <c r="I168" s="64">
        <v>6371</v>
      </c>
      <c r="J168" s="62">
        <v>2083</v>
      </c>
      <c r="K168" s="62" t="s">
        <v>551</v>
      </c>
      <c r="L168" s="62">
        <v>3651</v>
      </c>
      <c r="M168" s="62"/>
      <c r="N168" s="62"/>
      <c r="O168" s="9"/>
      <c r="P168" s="10"/>
      <c r="Q168" s="9"/>
      <c r="R168" s="9"/>
      <c r="S168" s="9"/>
    </row>
    <row r="169" spans="1:35" x14ac:dyDescent="0.25">
      <c r="A169" s="90" t="s">
        <v>204</v>
      </c>
      <c r="B169" s="91"/>
      <c r="C169" s="91"/>
      <c r="D169" s="91"/>
      <c r="E169" s="91"/>
      <c r="F169" s="91"/>
      <c r="G169" s="91"/>
      <c r="H169" s="91"/>
      <c r="I169" s="64">
        <v>1932</v>
      </c>
      <c r="J169" s="62"/>
      <c r="K169" s="62"/>
      <c r="L169" s="62"/>
      <c r="M169" s="62"/>
      <c r="N169" s="62"/>
      <c r="O169" s="9"/>
      <c r="P169" s="10"/>
      <c r="Q169" s="9"/>
      <c r="R169" s="9"/>
      <c r="S169" s="9"/>
    </row>
    <row r="170" spans="1:35" x14ac:dyDescent="0.25">
      <c r="A170" s="90" t="s">
        <v>205</v>
      </c>
      <c r="B170" s="91"/>
      <c r="C170" s="91"/>
      <c r="D170" s="91"/>
      <c r="E170" s="91"/>
      <c r="F170" s="91"/>
      <c r="G170" s="91"/>
      <c r="H170" s="91"/>
      <c r="I170" s="64">
        <v>923</v>
      </c>
      <c r="J170" s="62"/>
      <c r="K170" s="62"/>
      <c r="L170" s="62"/>
      <c r="M170" s="62"/>
      <c r="N170" s="62"/>
      <c r="O170" s="9"/>
      <c r="P170" s="10"/>
      <c r="Q170" s="9"/>
      <c r="R170" s="9"/>
      <c r="S170" s="9"/>
    </row>
    <row r="171" spans="1:35" x14ac:dyDescent="0.25">
      <c r="A171" s="93" t="s">
        <v>552</v>
      </c>
      <c r="B171" s="94"/>
      <c r="C171" s="94"/>
      <c r="D171" s="94"/>
      <c r="E171" s="94"/>
      <c r="F171" s="94"/>
      <c r="G171" s="94"/>
      <c r="H171" s="94"/>
      <c r="I171" s="75"/>
      <c r="J171" s="76"/>
      <c r="K171" s="76"/>
      <c r="L171" s="76"/>
      <c r="M171" s="62"/>
      <c r="N171" s="62"/>
      <c r="O171" s="9"/>
      <c r="P171" s="10"/>
      <c r="Q171" s="9"/>
      <c r="R171" s="9"/>
      <c r="S171" s="9"/>
    </row>
    <row r="172" spans="1:35" x14ac:dyDescent="0.25">
      <c r="A172" s="90" t="s">
        <v>212</v>
      </c>
      <c r="B172" s="91"/>
      <c r="C172" s="91"/>
      <c r="D172" s="91"/>
      <c r="E172" s="91"/>
      <c r="F172" s="91"/>
      <c r="G172" s="91"/>
      <c r="H172" s="91"/>
      <c r="I172" s="64">
        <v>9226</v>
      </c>
      <c r="J172" s="62"/>
      <c r="K172" s="62"/>
      <c r="L172" s="62"/>
      <c r="M172" s="62"/>
      <c r="N172" s="62"/>
      <c r="O172" s="9"/>
      <c r="P172" s="10"/>
      <c r="Q172" s="9"/>
      <c r="R172" s="9"/>
      <c r="S172" s="9"/>
    </row>
    <row r="173" spans="1:35" x14ac:dyDescent="0.25">
      <c r="A173" s="90" t="s">
        <v>217</v>
      </c>
      <c r="B173" s="91"/>
      <c r="C173" s="91"/>
      <c r="D173" s="91"/>
      <c r="E173" s="91"/>
      <c r="F173" s="91"/>
      <c r="G173" s="91"/>
      <c r="H173" s="91"/>
      <c r="I173" s="64">
        <v>9226</v>
      </c>
      <c r="J173" s="62"/>
      <c r="K173" s="62"/>
      <c r="L173" s="62"/>
      <c r="M173" s="62"/>
      <c r="N173" s="62"/>
      <c r="O173" s="9"/>
      <c r="P173" s="10"/>
      <c r="Q173" s="9"/>
      <c r="R173" s="9"/>
      <c r="S173" s="9"/>
    </row>
    <row r="174" spans="1:35" x14ac:dyDescent="0.25">
      <c r="A174" s="90" t="s">
        <v>218</v>
      </c>
      <c r="B174" s="91"/>
      <c r="C174" s="91"/>
      <c r="D174" s="91"/>
      <c r="E174" s="91"/>
      <c r="F174" s="91"/>
      <c r="G174" s="91"/>
      <c r="H174" s="91"/>
      <c r="I174" s="64"/>
      <c r="J174" s="62"/>
      <c r="K174" s="62"/>
      <c r="L174" s="62"/>
      <c r="M174" s="62"/>
      <c r="N174" s="62"/>
      <c r="O174" s="9"/>
      <c r="P174" s="10"/>
      <c r="Q174" s="9"/>
      <c r="R174" s="9"/>
      <c r="S174" s="9"/>
    </row>
    <row r="175" spans="1:35" x14ac:dyDescent="0.25">
      <c r="A175" s="90" t="s">
        <v>412</v>
      </c>
      <c r="B175" s="91"/>
      <c r="C175" s="91"/>
      <c r="D175" s="91"/>
      <c r="E175" s="91"/>
      <c r="F175" s="91"/>
      <c r="G175" s="91"/>
      <c r="H175" s="91"/>
      <c r="I175" s="64">
        <v>3651</v>
      </c>
      <c r="J175" s="62"/>
      <c r="K175" s="62"/>
      <c r="L175" s="62"/>
      <c r="M175" s="62"/>
      <c r="N175" s="62"/>
      <c r="O175" s="9"/>
      <c r="P175" s="10"/>
      <c r="Q175" s="9"/>
      <c r="R175" s="9"/>
      <c r="S175" s="9"/>
    </row>
    <row r="176" spans="1:35" x14ac:dyDescent="0.25">
      <c r="A176" s="90" t="s">
        <v>219</v>
      </c>
      <c r="B176" s="91"/>
      <c r="C176" s="91"/>
      <c r="D176" s="91"/>
      <c r="E176" s="91"/>
      <c r="F176" s="91"/>
      <c r="G176" s="91"/>
      <c r="H176" s="91"/>
      <c r="I176" s="64">
        <v>637</v>
      </c>
      <c r="J176" s="62"/>
      <c r="K176" s="62"/>
      <c r="L176" s="62"/>
      <c r="M176" s="62"/>
      <c r="N176" s="62"/>
      <c r="O176" s="9"/>
      <c r="P176" s="10"/>
      <c r="Q176" s="9"/>
      <c r="R176" s="9"/>
      <c r="S176" s="9"/>
    </row>
    <row r="177" spans="1:35" x14ac:dyDescent="0.25">
      <c r="A177" s="90" t="s">
        <v>220</v>
      </c>
      <c r="B177" s="91"/>
      <c r="C177" s="91"/>
      <c r="D177" s="91"/>
      <c r="E177" s="91"/>
      <c r="F177" s="91"/>
      <c r="G177" s="91"/>
      <c r="H177" s="91"/>
      <c r="I177" s="64">
        <v>2147</v>
      </c>
      <c r="J177" s="62"/>
      <c r="K177" s="62"/>
      <c r="L177" s="62"/>
      <c r="M177" s="62"/>
      <c r="N177" s="62"/>
      <c r="O177" s="9"/>
      <c r="P177" s="10"/>
      <c r="Q177" s="9"/>
      <c r="R177" s="9"/>
      <c r="S177" s="9"/>
    </row>
    <row r="178" spans="1:35" x14ac:dyDescent="0.25">
      <c r="A178" s="90" t="s">
        <v>221</v>
      </c>
      <c r="B178" s="91"/>
      <c r="C178" s="91"/>
      <c r="D178" s="91"/>
      <c r="E178" s="91"/>
      <c r="F178" s="91"/>
      <c r="G178" s="91"/>
      <c r="H178" s="91"/>
      <c r="I178" s="64">
        <v>1932</v>
      </c>
      <c r="J178" s="62"/>
      <c r="K178" s="62"/>
      <c r="L178" s="62"/>
      <c r="M178" s="62"/>
      <c r="N178" s="62"/>
      <c r="O178" s="9"/>
      <c r="P178" s="10"/>
      <c r="Q178" s="9"/>
      <c r="R178" s="9"/>
      <c r="S178" s="9"/>
    </row>
    <row r="179" spans="1:35" x14ac:dyDescent="0.25">
      <c r="A179" s="90" t="s">
        <v>222</v>
      </c>
      <c r="B179" s="91"/>
      <c r="C179" s="91"/>
      <c r="D179" s="91"/>
      <c r="E179" s="91"/>
      <c r="F179" s="91"/>
      <c r="G179" s="91"/>
      <c r="H179" s="91"/>
      <c r="I179" s="64">
        <v>923</v>
      </c>
      <c r="J179" s="62"/>
      <c r="K179" s="62"/>
      <c r="L179" s="62"/>
      <c r="M179" s="62"/>
      <c r="N179" s="62"/>
      <c r="O179" s="9"/>
      <c r="P179" s="10"/>
      <c r="Q179" s="9"/>
      <c r="R179" s="9"/>
      <c r="S179" s="9"/>
    </row>
    <row r="180" spans="1:35" x14ac:dyDescent="0.25">
      <c r="A180" s="111" t="s">
        <v>553</v>
      </c>
      <c r="B180" s="112"/>
      <c r="C180" s="112"/>
      <c r="D180" s="112"/>
      <c r="E180" s="112"/>
      <c r="F180" s="112"/>
      <c r="G180" s="112"/>
      <c r="H180" s="112"/>
      <c r="I180" s="77">
        <v>9226</v>
      </c>
      <c r="J180" s="78"/>
      <c r="K180" s="78"/>
      <c r="L180" s="78"/>
      <c r="M180" s="72"/>
      <c r="N180" s="72"/>
      <c r="O180" s="9"/>
      <c r="P180" s="10"/>
      <c r="Q180" s="9"/>
      <c r="R180" s="9"/>
      <c r="S180" s="9"/>
    </row>
    <row r="181" spans="1:35" ht="18.45" customHeight="1" x14ac:dyDescent="0.25">
      <c r="A181" s="93" t="s">
        <v>554</v>
      </c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</row>
    <row r="182" spans="1:35" ht="136.80000000000001" x14ac:dyDescent="0.25">
      <c r="A182" s="58">
        <v>85</v>
      </c>
      <c r="B182" s="59" t="s">
        <v>555</v>
      </c>
      <c r="C182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Ограждение кровель перилами
-----------------------------------------------------------------------
100 м ограждения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-----------------------------------------------------------------------776 руб. НР 92%=120%*(0.9*0.85) от ФОТ (843 руб.)
371 руб. СП 44%=65%*(0.85*0.8) от ФОТ (843 руб.)
</v>
      </c>
      <c r="D182" s="61">
        <v>0.71499999999999997</v>
      </c>
      <c r="E182" s="62" t="s">
        <v>556</v>
      </c>
      <c r="F182" s="62" t="s">
        <v>557</v>
      </c>
      <c r="G182" s="62" t="s">
        <v>558</v>
      </c>
      <c r="H182" s="63" t="s">
        <v>559</v>
      </c>
      <c r="I182" s="64">
        <v>17044</v>
      </c>
      <c r="J182" s="62">
        <v>779</v>
      </c>
      <c r="K182" s="62" t="s">
        <v>560</v>
      </c>
      <c r="L182" s="62" t="str">
        <f>IF(0.715*3032.91=0," ",TEXT(,ROUND((0.715*3032.91*7.27),0)))</f>
        <v>15765</v>
      </c>
      <c r="M182" s="62" t="s">
        <v>561</v>
      </c>
      <c r="N182" s="62" t="s">
        <v>562</v>
      </c>
      <c r="O182" s="65"/>
      <c r="P182" s="65"/>
      <c r="Q182" s="65"/>
      <c r="R182" s="65"/>
      <c r="S182" s="65"/>
      <c r="T182" s="66"/>
      <c r="U182" s="66"/>
      <c r="V182" s="66"/>
      <c r="W182" s="66"/>
      <c r="X182" s="66"/>
      <c r="Y182" s="66"/>
      <c r="Z182" s="66"/>
      <c r="AA182" s="66" t="s">
        <v>258</v>
      </c>
      <c r="AB182" s="66" t="s">
        <v>174</v>
      </c>
      <c r="AC182" s="66">
        <v>776</v>
      </c>
      <c r="AD182" s="66">
        <v>371</v>
      </c>
      <c r="AE182" s="66" t="s">
        <v>233</v>
      </c>
      <c r="AF182" s="66" t="s">
        <v>563</v>
      </c>
      <c r="AG182" s="66" t="s">
        <v>564</v>
      </c>
      <c r="AH182" s="66"/>
      <c r="AI182" s="66">
        <f>779+64</f>
        <v>843</v>
      </c>
    </row>
    <row r="183" spans="1:35" ht="79.8" x14ac:dyDescent="0.25">
      <c r="A183" s="58">
        <v>86</v>
      </c>
      <c r="B183" s="59" t="s">
        <v>565</v>
      </c>
      <c r="C183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-----------------------------------------------------------------------
т
</v>
      </c>
      <c r="D183" s="61">
        <v>-0.2145</v>
      </c>
      <c r="E183" s="62">
        <v>10045</v>
      </c>
      <c r="F183" s="62"/>
      <c r="G183" s="62" t="s">
        <v>566</v>
      </c>
      <c r="H183" s="63" t="s">
        <v>567</v>
      </c>
      <c r="I183" s="64">
        <v>-15693</v>
      </c>
      <c r="J183" s="62"/>
      <c r="K183" s="62"/>
      <c r="L183" s="62" t="str">
        <f>IF(-0.2145*10045=0," ",TEXT(,ROUND((-0.2145*10045*7.282),0)))</f>
        <v>-15690</v>
      </c>
      <c r="M183" s="62"/>
      <c r="N183" s="62"/>
      <c r="O183" s="65"/>
      <c r="P183" s="65"/>
      <c r="Q183" s="65"/>
      <c r="R183" s="65"/>
      <c r="S183" s="65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 t="s">
        <v>568</v>
      </c>
      <c r="AG183" s="66" t="s">
        <v>354</v>
      </c>
      <c r="AH183" s="66"/>
      <c r="AI183" s="66">
        <f>0+0</f>
        <v>0</v>
      </c>
    </row>
    <row r="184" spans="1:35" ht="79.8" x14ac:dyDescent="0.25">
      <c r="A184" s="58">
        <v>87</v>
      </c>
      <c r="B184" s="59" t="s">
        <v>569</v>
      </c>
      <c r="C184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-----------------------------------------------------------------------
т
</v>
      </c>
      <c r="D184" s="61">
        <v>0.91800000000000004</v>
      </c>
      <c r="E184" s="62">
        <v>10045</v>
      </c>
      <c r="F184" s="62"/>
      <c r="G184" s="62" t="s">
        <v>566</v>
      </c>
      <c r="H184" s="63" t="s">
        <v>567</v>
      </c>
      <c r="I184" s="64">
        <v>67147</v>
      </c>
      <c r="J184" s="62"/>
      <c r="K184" s="62"/>
      <c r="L184" s="62" t="str">
        <f>IF(0.918*10045=0," ",TEXT(,ROUND((0.918*10045*7.282),0)))</f>
        <v>67150</v>
      </c>
      <c r="M184" s="62"/>
      <c r="N184" s="62"/>
      <c r="O184" s="65"/>
      <c r="P184" s="65"/>
      <c r="Q184" s="65"/>
      <c r="R184" s="65"/>
      <c r="S184" s="65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 t="s">
        <v>568</v>
      </c>
      <c r="AG184" s="66" t="s">
        <v>354</v>
      </c>
      <c r="AH184" s="66"/>
      <c r="AI184" s="66">
        <f>0+0</f>
        <v>0</v>
      </c>
    </row>
    <row r="185" spans="1:35" ht="159.6" x14ac:dyDescent="0.25">
      <c r="A185" s="68">
        <v>88</v>
      </c>
      <c r="B185" s="69" t="s">
        <v>570</v>
      </c>
      <c r="C185" s="7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Окраска металлических огрунтованных поверхностей: эмалью ПФ-115 (за 2 раза)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МАТ=2)
-----------------------------------------------------------------------11 руб. НР 69%=90%*(0.9*0.85) от ФОТ (16 руб.)
8 руб. СП 48%=70%*(0.85*0.8) от ФОТ (16 руб.)
</v>
      </c>
      <c r="D185" s="71">
        <v>1.8200000000000001E-2</v>
      </c>
      <c r="E185" s="72" t="s">
        <v>513</v>
      </c>
      <c r="F185" s="72" t="s">
        <v>514</v>
      </c>
      <c r="G185" s="72" t="s">
        <v>515</v>
      </c>
      <c r="H185" s="73" t="s">
        <v>516</v>
      </c>
      <c r="I185" s="74">
        <v>82</v>
      </c>
      <c r="J185" s="72">
        <v>16</v>
      </c>
      <c r="K185" s="72"/>
      <c r="L185" s="72" t="str">
        <f>IF(0.0182*562.56=0," ",TEXT(,ROUND((0.0182*562.56*6.04),0)))</f>
        <v>62</v>
      </c>
      <c r="M185" s="72"/>
      <c r="N185" s="72"/>
      <c r="O185" s="65"/>
      <c r="P185" s="65"/>
      <c r="Q185" s="65"/>
      <c r="R185" s="65"/>
      <c r="S185" s="65"/>
      <c r="T185" s="66"/>
      <c r="U185" s="66"/>
      <c r="V185" s="66"/>
      <c r="W185" s="66"/>
      <c r="X185" s="66"/>
      <c r="Y185" s="66"/>
      <c r="Z185" s="66"/>
      <c r="AA185" s="66" t="s">
        <v>509</v>
      </c>
      <c r="AB185" s="66" t="s">
        <v>107</v>
      </c>
      <c r="AC185" s="66">
        <v>11</v>
      </c>
      <c r="AD185" s="66">
        <v>8</v>
      </c>
      <c r="AE185" s="79" t="s">
        <v>571</v>
      </c>
      <c r="AF185" s="66" t="s">
        <v>572</v>
      </c>
      <c r="AG185" s="66" t="s">
        <v>511</v>
      </c>
      <c r="AH185" s="66"/>
      <c r="AI185" s="66">
        <f>16+0</f>
        <v>16</v>
      </c>
    </row>
    <row r="186" spans="1:35" ht="34.200000000000003" x14ac:dyDescent="0.25">
      <c r="A186" s="90" t="s">
        <v>199</v>
      </c>
      <c r="B186" s="91"/>
      <c r="C186" s="91"/>
      <c r="D186" s="91"/>
      <c r="E186" s="91"/>
      <c r="F186" s="91"/>
      <c r="G186" s="91"/>
      <c r="H186" s="91"/>
      <c r="I186" s="64">
        <v>9345</v>
      </c>
      <c r="J186" s="62">
        <v>50</v>
      </c>
      <c r="K186" s="62" t="s">
        <v>573</v>
      </c>
      <c r="L186" s="62">
        <v>9246</v>
      </c>
      <c r="M186" s="62"/>
      <c r="N186" s="62" t="s">
        <v>574</v>
      </c>
      <c r="O186" s="9"/>
      <c r="P186" s="10"/>
      <c r="Q186" s="9"/>
      <c r="R186" s="9"/>
      <c r="S186" s="9"/>
    </row>
    <row r="187" spans="1:35" ht="34.200000000000003" x14ac:dyDescent="0.25">
      <c r="A187" s="90" t="s">
        <v>202</v>
      </c>
      <c r="B187" s="91"/>
      <c r="C187" s="91"/>
      <c r="D187" s="91"/>
      <c r="E187" s="91"/>
      <c r="F187" s="91"/>
      <c r="G187" s="91"/>
      <c r="H187" s="91"/>
      <c r="I187" s="64">
        <v>68581</v>
      </c>
      <c r="J187" s="62">
        <v>795</v>
      </c>
      <c r="K187" s="62" t="s">
        <v>560</v>
      </c>
      <c r="L187" s="62">
        <v>67290</v>
      </c>
      <c r="M187" s="62"/>
      <c r="N187" s="62" t="s">
        <v>574</v>
      </c>
      <c r="O187" s="9"/>
      <c r="P187" s="10"/>
      <c r="Q187" s="9"/>
      <c r="R187" s="9"/>
      <c r="S187" s="9"/>
    </row>
    <row r="188" spans="1:35" x14ac:dyDescent="0.25">
      <c r="A188" s="90" t="s">
        <v>204</v>
      </c>
      <c r="B188" s="91"/>
      <c r="C188" s="91"/>
      <c r="D188" s="91"/>
      <c r="E188" s="91"/>
      <c r="F188" s="91"/>
      <c r="G188" s="91"/>
      <c r="H188" s="91"/>
      <c r="I188" s="64">
        <v>787</v>
      </c>
      <c r="J188" s="62"/>
      <c r="K188" s="62"/>
      <c r="L188" s="62"/>
      <c r="M188" s="62"/>
      <c r="N188" s="62"/>
      <c r="O188" s="9"/>
      <c r="P188" s="10"/>
      <c r="Q188" s="9"/>
      <c r="R188" s="9"/>
      <c r="S188" s="9"/>
    </row>
    <row r="189" spans="1:35" x14ac:dyDescent="0.25">
      <c r="A189" s="90" t="s">
        <v>205</v>
      </c>
      <c r="B189" s="91"/>
      <c r="C189" s="91"/>
      <c r="D189" s="91"/>
      <c r="E189" s="91"/>
      <c r="F189" s="91"/>
      <c r="G189" s="91"/>
      <c r="H189" s="91"/>
      <c r="I189" s="64">
        <v>379</v>
      </c>
      <c r="J189" s="62"/>
      <c r="K189" s="62"/>
      <c r="L189" s="62"/>
      <c r="M189" s="62"/>
      <c r="N189" s="62"/>
      <c r="O189" s="9"/>
      <c r="P189" s="10"/>
      <c r="Q189" s="9"/>
      <c r="R189" s="9"/>
      <c r="S189" s="9"/>
    </row>
    <row r="190" spans="1:35" x14ac:dyDescent="0.25">
      <c r="A190" s="93" t="s">
        <v>575</v>
      </c>
      <c r="B190" s="94"/>
      <c r="C190" s="94"/>
      <c r="D190" s="94"/>
      <c r="E190" s="94"/>
      <c r="F190" s="94"/>
      <c r="G190" s="94"/>
      <c r="H190" s="94"/>
      <c r="I190" s="75"/>
      <c r="J190" s="76"/>
      <c r="K190" s="76"/>
      <c r="L190" s="76"/>
      <c r="M190" s="76"/>
      <c r="N190" s="76"/>
      <c r="O190" s="9"/>
      <c r="P190" s="10"/>
      <c r="Q190" s="9"/>
      <c r="R190" s="9"/>
      <c r="S190" s="9"/>
    </row>
    <row r="191" spans="1:35" ht="34.200000000000003" x14ac:dyDescent="0.25">
      <c r="A191" s="90" t="s">
        <v>407</v>
      </c>
      <c r="B191" s="91"/>
      <c r="C191" s="91"/>
      <c r="D191" s="91"/>
      <c r="E191" s="91"/>
      <c r="F191" s="91"/>
      <c r="G191" s="91"/>
      <c r="H191" s="91"/>
      <c r="I191" s="64">
        <v>69646</v>
      </c>
      <c r="J191" s="62"/>
      <c r="K191" s="62"/>
      <c r="L191" s="62"/>
      <c r="M191" s="62"/>
      <c r="N191" s="62" t="s">
        <v>574</v>
      </c>
      <c r="O191" s="9"/>
      <c r="P191" s="10"/>
      <c r="Q191" s="9"/>
      <c r="R191" s="9"/>
      <c r="S191" s="9"/>
    </row>
    <row r="192" spans="1:35" x14ac:dyDescent="0.25">
      <c r="A192" s="90" t="s">
        <v>528</v>
      </c>
      <c r="B192" s="91"/>
      <c r="C192" s="91"/>
      <c r="D192" s="91"/>
      <c r="E192" s="91"/>
      <c r="F192" s="91"/>
      <c r="G192" s="91"/>
      <c r="H192" s="91"/>
      <c r="I192" s="64">
        <v>101</v>
      </c>
      <c r="J192" s="62"/>
      <c r="K192" s="62"/>
      <c r="L192" s="62"/>
      <c r="M192" s="62"/>
      <c r="N192" s="62"/>
      <c r="O192" s="9"/>
      <c r="P192" s="10"/>
      <c r="Q192" s="9"/>
      <c r="R192" s="9"/>
      <c r="S192" s="9"/>
    </row>
    <row r="193" spans="1:35" ht="34.200000000000003" x14ac:dyDescent="0.25">
      <c r="A193" s="90" t="s">
        <v>217</v>
      </c>
      <c r="B193" s="91"/>
      <c r="C193" s="91"/>
      <c r="D193" s="91"/>
      <c r="E193" s="91"/>
      <c r="F193" s="91"/>
      <c r="G193" s="91"/>
      <c r="H193" s="91"/>
      <c r="I193" s="64">
        <v>69747</v>
      </c>
      <c r="J193" s="62"/>
      <c r="K193" s="62"/>
      <c r="L193" s="62"/>
      <c r="M193" s="62"/>
      <c r="N193" s="62" t="s">
        <v>574</v>
      </c>
      <c r="O193" s="9"/>
      <c r="P193" s="10"/>
      <c r="Q193" s="9"/>
      <c r="R193" s="9"/>
      <c r="S193" s="9"/>
    </row>
    <row r="194" spans="1:35" x14ac:dyDescent="0.25">
      <c r="A194" s="90" t="s">
        <v>218</v>
      </c>
      <c r="B194" s="91"/>
      <c r="C194" s="91"/>
      <c r="D194" s="91"/>
      <c r="E194" s="91"/>
      <c r="F194" s="91"/>
      <c r="G194" s="91"/>
      <c r="H194" s="91"/>
      <c r="I194" s="64"/>
      <c r="J194" s="62"/>
      <c r="K194" s="62"/>
      <c r="L194" s="62"/>
      <c r="M194" s="62"/>
      <c r="N194" s="62"/>
      <c r="O194" s="9"/>
      <c r="P194" s="10"/>
      <c r="Q194" s="9"/>
      <c r="R194" s="9"/>
      <c r="S194" s="9"/>
    </row>
    <row r="195" spans="1:35" x14ac:dyDescent="0.25">
      <c r="A195" s="90" t="s">
        <v>412</v>
      </c>
      <c r="B195" s="91"/>
      <c r="C195" s="91"/>
      <c r="D195" s="91"/>
      <c r="E195" s="91"/>
      <c r="F195" s="91"/>
      <c r="G195" s="91"/>
      <c r="H195" s="91"/>
      <c r="I195" s="64">
        <v>67290</v>
      </c>
      <c r="J195" s="62"/>
      <c r="K195" s="62"/>
      <c r="L195" s="62"/>
      <c r="M195" s="62"/>
      <c r="N195" s="62"/>
      <c r="O195" s="9"/>
      <c r="P195" s="10"/>
      <c r="Q195" s="9"/>
      <c r="R195" s="9"/>
      <c r="S195" s="9"/>
    </row>
    <row r="196" spans="1:35" x14ac:dyDescent="0.25">
      <c r="A196" s="90" t="s">
        <v>219</v>
      </c>
      <c r="B196" s="91"/>
      <c r="C196" s="91"/>
      <c r="D196" s="91"/>
      <c r="E196" s="91"/>
      <c r="F196" s="91"/>
      <c r="G196" s="91"/>
      <c r="H196" s="91"/>
      <c r="I196" s="64">
        <v>496</v>
      </c>
      <c r="J196" s="62"/>
      <c r="K196" s="62"/>
      <c r="L196" s="62"/>
      <c r="M196" s="62"/>
      <c r="N196" s="62"/>
      <c r="O196" s="9"/>
      <c r="P196" s="10"/>
      <c r="Q196" s="9"/>
      <c r="R196" s="9"/>
      <c r="S196" s="9"/>
    </row>
    <row r="197" spans="1:35" x14ac:dyDescent="0.25">
      <c r="A197" s="90" t="s">
        <v>220</v>
      </c>
      <c r="B197" s="91"/>
      <c r="C197" s="91"/>
      <c r="D197" s="91"/>
      <c r="E197" s="91"/>
      <c r="F197" s="91"/>
      <c r="G197" s="91"/>
      <c r="H197" s="91"/>
      <c r="I197" s="64">
        <v>859</v>
      </c>
      <c r="J197" s="62"/>
      <c r="K197" s="62"/>
      <c r="L197" s="62"/>
      <c r="M197" s="62"/>
      <c r="N197" s="62"/>
      <c r="O197" s="9"/>
      <c r="P197" s="10"/>
      <c r="Q197" s="9"/>
      <c r="R197" s="9"/>
      <c r="S197" s="9"/>
    </row>
    <row r="198" spans="1:35" x14ac:dyDescent="0.25">
      <c r="A198" s="90" t="s">
        <v>221</v>
      </c>
      <c r="B198" s="91"/>
      <c r="C198" s="91"/>
      <c r="D198" s="91"/>
      <c r="E198" s="91"/>
      <c r="F198" s="91"/>
      <c r="G198" s="91"/>
      <c r="H198" s="91"/>
      <c r="I198" s="64">
        <v>787</v>
      </c>
      <c r="J198" s="62"/>
      <c r="K198" s="62"/>
      <c r="L198" s="62"/>
      <c r="M198" s="62"/>
      <c r="N198" s="62"/>
      <c r="O198" s="9"/>
      <c r="P198" s="10"/>
      <c r="Q198" s="9"/>
      <c r="R198" s="9"/>
      <c r="S198" s="9"/>
    </row>
    <row r="199" spans="1:35" x14ac:dyDescent="0.25">
      <c r="A199" s="90" t="s">
        <v>222</v>
      </c>
      <c r="B199" s="91"/>
      <c r="C199" s="91"/>
      <c r="D199" s="91"/>
      <c r="E199" s="91"/>
      <c r="F199" s="91"/>
      <c r="G199" s="91"/>
      <c r="H199" s="91"/>
      <c r="I199" s="64">
        <v>379</v>
      </c>
      <c r="J199" s="62"/>
      <c r="K199" s="62"/>
      <c r="L199" s="62"/>
      <c r="M199" s="62"/>
      <c r="N199" s="62"/>
      <c r="O199" s="9"/>
      <c r="P199" s="10"/>
      <c r="Q199" s="9"/>
      <c r="R199" s="9"/>
      <c r="S199" s="9"/>
    </row>
    <row r="200" spans="1:35" ht="34.200000000000003" x14ac:dyDescent="0.25">
      <c r="A200" s="111" t="s">
        <v>576</v>
      </c>
      <c r="B200" s="112"/>
      <c r="C200" s="112"/>
      <c r="D200" s="112"/>
      <c r="E200" s="112"/>
      <c r="F200" s="112"/>
      <c r="G200" s="112"/>
      <c r="H200" s="112"/>
      <c r="I200" s="77">
        <v>69747</v>
      </c>
      <c r="J200" s="78"/>
      <c r="K200" s="78"/>
      <c r="L200" s="78"/>
      <c r="M200" s="78"/>
      <c r="N200" s="78" t="s">
        <v>574</v>
      </c>
      <c r="O200" s="9"/>
      <c r="P200" s="10"/>
      <c r="Q200" s="9"/>
      <c r="R200" s="9"/>
      <c r="S200" s="9"/>
    </row>
    <row r="201" spans="1:35" ht="18.45" customHeight="1" x14ac:dyDescent="0.25">
      <c r="A201" s="93" t="s">
        <v>577</v>
      </c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</row>
    <row r="202" spans="1:35" ht="136.80000000000001" x14ac:dyDescent="0.25">
      <c r="A202" s="58">
        <v>89</v>
      </c>
      <c r="B202" s="59" t="s">
        <v>555</v>
      </c>
      <c r="C202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Ограждение кровель перилами
-----------------------------------------------------------------------
100 м ограждения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-----------------------------------------------------------------------248 руб. НР 92%=120%*(0.9*0.85) от ФОТ (270 руб.)
119 руб. СП 44%=65%*(0.85*0.8) от ФОТ (270 руб.)
</v>
      </c>
      <c r="D202" s="61">
        <v>0.23</v>
      </c>
      <c r="E202" s="62" t="s">
        <v>556</v>
      </c>
      <c r="F202" s="62" t="s">
        <v>557</v>
      </c>
      <c r="G202" s="62" t="s">
        <v>558</v>
      </c>
      <c r="H202" s="63" t="s">
        <v>559</v>
      </c>
      <c r="I202" s="64">
        <v>5483</v>
      </c>
      <c r="J202" s="62">
        <v>254</v>
      </c>
      <c r="K202" s="62" t="s">
        <v>578</v>
      </c>
      <c r="L202" s="62" t="str">
        <f>IF(0.23*3032.91=0," ",TEXT(,ROUND((0.23*3032.91*7.27),0)))</f>
        <v>5071</v>
      </c>
      <c r="M202" s="62" t="s">
        <v>561</v>
      </c>
      <c r="N202" s="62" t="s">
        <v>579</v>
      </c>
      <c r="O202" s="65"/>
      <c r="P202" s="65"/>
      <c r="Q202" s="65"/>
      <c r="R202" s="65"/>
      <c r="S202" s="65"/>
      <c r="T202" s="66"/>
      <c r="U202" s="66"/>
      <c r="V202" s="66"/>
      <c r="W202" s="66"/>
      <c r="X202" s="66"/>
      <c r="Y202" s="66"/>
      <c r="Z202" s="66"/>
      <c r="AA202" s="66" t="s">
        <v>258</v>
      </c>
      <c r="AB202" s="66" t="s">
        <v>174</v>
      </c>
      <c r="AC202" s="66">
        <v>248</v>
      </c>
      <c r="AD202" s="66">
        <v>119</v>
      </c>
      <c r="AE202" s="66" t="s">
        <v>233</v>
      </c>
      <c r="AF202" s="66" t="s">
        <v>563</v>
      </c>
      <c r="AG202" s="66" t="s">
        <v>564</v>
      </c>
      <c r="AH202" s="66"/>
      <c r="AI202" s="66">
        <f>254+16</f>
        <v>270</v>
      </c>
    </row>
    <row r="203" spans="1:35" ht="79.8" x14ac:dyDescent="0.25">
      <c r="A203" s="58">
        <v>90</v>
      </c>
      <c r="B203" s="59" t="s">
        <v>565</v>
      </c>
      <c r="C203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-----------------------------------------------------------------------
т
</v>
      </c>
      <c r="D203" s="61">
        <v>-6.9000000000000006E-2</v>
      </c>
      <c r="E203" s="62">
        <v>10045</v>
      </c>
      <c r="F203" s="62"/>
      <c r="G203" s="62" t="s">
        <v>566</v>
      </c>
      <c r="H203" s="63" t="s">
        <v>567</v>
      </c>
      <c r="I203" s="64">
        <v>-5046</v>
      </c>
      <c r="J203" s="62"/>
      <c r="K203" s="62"/>
      <c r="L203" s="62" t="str">
        <f>IF(-0.069*10045=0," ",TEXT(,ROUND((-0.069*10045*7.282),0)))</f>
        <v>-5047</v>
      </c>
      <c r="M203" s="62"/>
      <c r="N203" s="62"/>
      <c r="O203" s="65"/>
      <c r="P203" s="65"/>
      <c r="Q203" s="65"/>
      <c r="R203" s="65"/>
      <c r="S203" s="65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 t="s">
        <v>568</v>
      </c>
      <c r="AG203" s="66" t="s">
        <v>354</v>
      </c>
      <c r="AH203" s="66"/>
      <c r="AI203" s="66">
        <f>0+0</f>
        <v>0</v>
      </c>
    </row>
    <row r="204" spans="1:35" ht="45.6" x14ac:dyDescent="0.25">
      <c r="A204" s="58">
        <v>91</v>
      </c>
      <c r="B204" s="59" t="s">
        <v>580</v>
      </c>
      <c r="C204" s="6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Трос стальной
-----------------------------------------------------------------------
м
</v>
      </c>
      <c r="D204" s="61">
        <v>23</v>
      </c>
      <c r="E204" s="62">
        <v>12.03</v>
      </c>
      <c r="F204" s="62"/>
      <c r="G204" s="62" t="s">
        <v>581</v>
      </c>
      <c r="H204" s="63" t="s">
        <v>582</v>
      </c>
      <c r="I204" s="64">
        <v>1916</v>
      </c>
      <c r="J204" s="62"/>
      <c r="K204" s="62"/>
      <c r="L204" s="62" t="str">
        <f>IF(23*12.03=0," ",TEXT(,ROUND((23*12.03*6.918),0)))</f>
        <v>1914</v>
      </c>
      <c r="M204" s="62"/>
      <c r="N204" s="62"/>
      <c r="O204" s="65"/>
      <c r="P204" s="65"/>
      <c r="Q204" s="65"/>
      <c r="R204" s="65"/>
      <c r="S204" s="65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 t="s">
        <v>583</v>
      </c>
      <c r="AG204" s="66" t="s">
        <v>483</v>
      </c>
      <c r="AH204" s="66"/>
      <c r="AI204" s="66">
        <f>0+0</f>
        <v>0</v>
      </c>
    </row>
    <row r="205" spans="1:35" ht="45.6" x14ac:dyDescent="0.25">
      <c r="A205" s="68">
        <v>92</v>
      </c>
      <c r="B205" s="69" t="s">
        <v>584</v>
      </c>
      <c r="C205" s="7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Анкер тросовый
-----------------------------------------------------------------------
100 шт.
</v>
      </c>
      <c r="D205" s="71">
        <v>0.28000000000000003</v>
      </c>
      <c r="E205" s="72">
        <v>3000</v>
      </c>
      <c r="F205" s="72"/>
      <c r="G205" s="72" t="s">
        <v>585</v>
      </c>
      <c r="H205" s="73" t="s">
        <v>586</v>
      </c>
      <c r="I205" s="74">
        <v>2521</v>
      </c>
      <c r="J205" s="72"/>
      <c r="K205" s="72"/>
      <c r="L205" s="72" t="str">
        <f>IF(0.28*3000=0," ",TEXT(,ROUND((0.28*3000*3.001),0)))</f>
        <v>2521</v>
      </c>
      <c r="M205" s="72"/>
      <c r="N205" s="72"/>
      <c r="O205" s="65"/>
      <c r="P205" s="65"/>
      <c r="Q205" s="65"/>
      <c r="R205" s="65"/>
      <c r="S205" s="65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 t="s">
        <v>587</v>
      </c>
      <c r="AG205" s="66" t="s">
        <v>588</v>
      </c>
      <c r="AH205" s="66"/>
      <c r="AI205" s="66">
        <f>0+0</f>
        <v>0</v>
      </c>
    </row>
    <row r="206" spans="1:35" ht="34.200000000000003" x14ac:dyDescent="0.25">
      <c r="A206" s="90" t="s">
        <v>199</v>
      </c>
      <c r="B206" s="91"/>
      <c r="C206" s="91"/>
      <c r="D206" s="91"/>
      <c r="E206" s="91"/>
      <c r="F206" s="91"/>
      <c r="G206" s="91"/>
      <c r="H206" s="91"/>
      <c r="I206" s="64">
        <v>1153</v>
      </c>
      <c r="J206" s="62">
        <v>16</v>
      </c>
      <c r="K206" s="62" t="s">
        <v>589</v>
      </c>
      <c r="L206" s="62">
        <v>1121</v>
      </c>
      <c r="M206" s="62"/>
      <c r="N206" s="62" t="s">
        <v>590</v>
      </c>
      <c r="O206" s="9"/>
      <c r="P206" s="10"/>
      <c r="Q206" s="9"/>
      <c r="R206" s="9"/>
      <c r="S206" s="9"/>
    </row>
    <row r="207" spans="1:35" ht="34.200000000000003" x14ac:dyDescent="0.25">
      <c r="A207" s="90" t="s">
        <v>202</v>
      </c>
      <c r="B207" s="91"/>
      <c r="C207" s="91"/>
      <c r="D207" s="91"/>
      <c r="E207" s="91"/>
      <c r="F207" s="91"/>
      <c r="G207" s="91"/>
      <c r="H207" s="91"/>
      <c r="I207" s="64">
        <v>4874</v>
      </c>
      <c r="J207" s="62">
        <v>254</v>
      </c>
      <c r="K207" s="62" t="s">
        <v>578</v>
      </c>
      <c r="L207" s="62">
        <v>4458</v>
      </c>
      <c r="M207" s="62"/>
      <c r="N207" s="62" t="s">
        <v>590</v>
      </c>
      <c r="O207" s="9"/>
      <c r="P207" s="10"/>
      <c r="Q207" s="9"/>
      <c r="R207" s="9"/>
      <c r="S207" s="9"/>
    </row>
    <row r="208" spans="1:35" x14ac:dyDescent="0.25">
      <c r="A208" s="90" t="s">
        <v>204</v>
      </c>
      <c r="B208" s="91"/>
      <c r="C208" s="91"/>
      <c r="D208" s="91"/>
      <c r="E208" s="91"/>
      <c r="F208" s="91"/>
      <c r="G208" s="91"/>
      <c r="H208" s="91"/>
      <c r="I208" s="64">
        <v>248</v>
      </c>
      <c r="J208" s="62"/>
      <c r="K208" s="62"/>
      <c r="L208" s="62"/>
      <c r="M208" s="62"/>
      <c r="N208" s="62"/>
      <c r="O208" s="9"/>
      <c r="P208" s="10"/>
      <c r="Q208" s="9"/>
      <c r="R208" s="9"/>
      <c r="S208" s="9"/>
    </row>
    <row r="209" spans="1:35" x14ac:dyDescent="0.25">
      <c r="A209" s="90" t="s">
        <v>205</v>
      </c>
      <c r="B209" s="91"/>
      <c r="C209" s="91"/>
      <c r="D209" s="91"/>
      <c r="E209" s="91"/>
      <c r="F209" s="91"/>
      <c r="G209" s="91"/>
      <c r="H209" s="91"/>
      <c r="I209" s="64">
        <v>119</v>
      </c>
      <c r="J209" s="62"/>
      <c r="K209" s="62"/>
      <c r="L209" s="62"/>
      <c r="M209" s="62"/>
      <c r="N209" s="62"/>
      <c r="O209" s="9"/>
      <c r="P209" s="10"/>
      <c r="Q209" s="9"/>
      <c r="R209" s="9"/>
      <c r="S209" s="9"/>
    </row>
    <row r="210" spans="1:35" x14ac:dyDescent="0.25">
      <c r="A210" s="93" t="s">
        <v>591</v>
      </c>
      <c r="B210" s="94"/>
      <c r="C210" s="94"/>
      <c r="D210" s="94"/>
      <c r="E210" s="94"/>
      <c r="F210" s="94"/>
      <c r="G210" s="94"/>
      <c r="H210" s="94"/>
      <c r="I210" s="75"/>
      <c r="J210" s="76"/>
      <c r="K210" s="76"/>
      <c r="L210" s="76"/>
      <c r="M210" s="76"/>
      <c r="N210" s="76"/>
      <c r="O210" s="9"/>
      <c r="P210" s="10"/>
      <c r="Q210" s="9"/>
      <c r="R210" s="9"/>
      <c r="S210" s="9"/>
    </row>
    <row r="211" spans="1:35" ht="34.200000000000003" x14ac:dyDescent="0.25">
      <c r="A211" s="90" t="s">
        <v>407</v>
      </c>
      <c r="B211" s="91"/>
      <c r="C211" s="91"/>
      <c r="D211" s="91"/>
      <c r="E211" s="91"/>
      <c r="F211" s="91"/>
      <c r="G211" s="91"/>
      <c r="H211" s="91"/>
      <c r="I211" s="64">
        <v>5241</v>
      </c>
      <c r="J211" s="62"/>
      <c r="K211" s="62"/>
      <c r="L211" s="62"/>
      <c r="M211" s="62"/>
      <c r="N211" s="62" t="s">
        <v>590</v>
      </c>
      <c r="O211" s="9"/>
      <c r="P211" s="10"/>
      <c r="Q211" s="9"/>
      <c r="R211" s="9"/>
      <c r="S211" s="9"/>
    </row>
    <row r="212" spans="1:35" ht="34.200000000000003" x14ac:dyDescent="0.25">
      <c r="A212" s="90" t="s">
        <v>217</v>
      </c>
      <c r="B212" s="91"/>
      <c r="C212" s="91"/>
      <c r="D212" s="91"/>
      <c r="E212" s="91"/>
      <c r="F212" s="91"/>
      <c r="G212" s="91"/>
      <c r="H212" s="91"/>
      <c r="I212" s="64">
        <v>5241</v>
      </c>
      <c r="J212" s="62"/>
      <c r="K212" s="62"/>
      <c r="L212" s="62"/>
      <c r="M212" s="62"/>
      <c r="N212" s="62" t="s">
        <v>590</v>
      </c>
      <c r="O212" s="9"/>
      <c r="P212" s="10"/>
      <c r="Q212" s="9"/>
      <c r="R212" s="9"/>
      <c r="S212" s="9"/>
    </row>
    <row r="213" spans="1:35" x14ac:dyDescent="0.25">
      <c r="A213" s="90" t="s">
        <v>218</v>
      </c>
      <c r="B213" s="91"/>
      <c r="C213" s="91"/>
      <c r="D213" s="91"/>
      <c r="E213" s="91"/>
      <c r="F213" s="91"/>
      <c r="G213" s="91"/>
      <c r="H213" s="91"/>
      <c r="I213" s="64"/>
      <c r="J213" s="62"/>
      <c r="K213" s="62"/>
      <c r="L213" s="62"/>
      <c r="M213" s="62"/>
      <c r="N213" s="62"/>
      <c r="O213" s="9"/>
      <c r="P213" s="10"/>
      <c r="Q213" s="9"/>
      <c r="R213" s="9"/>
      <c r="S213" s="9"/>
    </row>
    <row r="214" spans="1:35" x14ac:dyDescent="0.25">
      <c r="A214" s="90" t="s">
        <v>412</v>
      </c>
      <c r="B214" s="91"/>
      <c r="C214" s="91"/>
      <c r="D214" s="91"/>
      <c r="E214" s="91"/>
      <c r="F214" s="91"/>
      <c r="G214" s="91"/>
      <c r="H214" s="91"/>
      <c r="I214" s="64">
        <v>4458</v>
      </c>
      <c r="J214" s="62"/>
      <c r="K214" s="62"/>
      <c r="L214" s="62"/>
      <c r="M214" s="62"/>
      <c r="N214" s="62"/>
      <c r="O214" s="9"/>
      <c r="P214" s="10"/>
      <c r="Q214" s="9"/>
      <c r="R214" s="9"/>
      <c r="S214" s="9"/>
    </row>
    <row r="215" spans="1:35" x14ac:dyDescent="0.25">
      <c r="A215" s="90" t="s">
        <v>219</v>
      </c>
      <c r="B215" s="91"/>
      <c r="C215" s="91"/>
      <c r="D215" s="91"/>
      <c r="E215" s="91"/>
      <c r="F215" s="91"/>
      <c r="G215" s="91"/>
      <c r="H215" s="91"/>
      <c r="I215" s="64">
        <v>162</v>
      </c>
      <c r="J215" s="62"/>
      <c r="K215" s="62"/>
      <c r="L215" s="62"/>
      <c r="M215" s="62"/>
      <c r="N215" s="62"/>
      <c r="O215" s="9"/>
      <c r="P215" s="10"/>
      <c r="Q215" s="9"/>
      <c r="R215" s="9"/>
      <c r="S215" s="9"/>
    </row>
    <row r="216" spans="1:35" x14ac:dyDescent="0.25">
      <c r="A216" s="90" t="s">
        <v>220</v>
      </c>
      <c r="B216" s="91"/>
      <c r="C216" s="91"/>
      <c r="D216" s="91"/>
      <c r="E216" s="91"/>
      <c r="F216" s="91"/>
      <c r="G216" s="91"/>
      <c r="H216" s="91"/>
      <c r="I216" s="64">
        <v>270</v>
      </c>
      <c r="J216" s="62"/>
      <c r="K216" s="62"/>
      <c r="L216" s="62"/>
      <c r="M216" s="62"/>
      <c r="N216" s="62"/>
      <c r="O216" s="9"/>
      <c r="P216" s="10"/>
      <c r="Q216" s="9"/>
      <c r="R216" s="9"/>
      <c r="S216" s="9"/>
    </row>
    <row r="217" spans="1:35" x14ac:dyDescent="0.25">
      <c r="A217" s="90" t="s">
        <v>221</v>
      </c>
      <c r="B217" s="91"/>
      <c r="C217" s="91"/>
      <c r="D217" s="91"/>
      <c r="E217" s="91"/>
      <c r="F217" s="91"/>
      <c r="G217" s="91"/>
      <c r="H217" s="91"/>
      <c r="I217" s="64">
        <v>248</v>
      </c>
      <c r="J217" s="62"/>
      <c r="K217" s="62"/>
      <c r="L217" s="62"/>
      <c r="M217" s="62"/>
      <c r="N217" s="62"/>
      <c r="O217" s="9"/>
      <c r="P217" s="10"/>
      <c r="Q217" s="9"/>
      <c r="R217" s="9"/>
      <c r="S217" s="9"/>
    </row>
    <row r="218" spans="1:35" x14ac:dyDescent="0.25">
      <c r="A218" s="90" t="s">
        <v>222</v>
      </c>
      <c r="B218" s="91"/>
      <c r="C218" s="91"/>
      <c r="D218" s="91"/>
      <c r="E218" s="91"/>
      <c r="F218" s="91"/>
      <c r="G218" s="91"/>
      <c r="H218" s="91"/>
      <c r="I218" s="64">
        <v>119</v>
      </c>
      <c r="J218" s="62"/>
      <c r="K218" s="62"/>
      <c r="L218" s="62"/>
      <c r="M218" s="62"/>
      <c r="N218" s="62"/>
      <c r="O218" s="9"/>
      <c r="P218" s="10"/>
      <c r="Q218" s="9"/>
      <c r="R218" s="9"/>
      <c r="S218" s="9"/>
    </row>
    <row r="219" spans="1:35" ht="34.200000000000003" x14ac:dyDescent="0.25">
      <c r="A219" s="111" t="s">
        <v>592</v>
      </c>
      <c r="B219" s="112"/>
      <c r="C219" s="112"/>
      <c r="D219" s="112"/>
      <c r="E219" s="112"/>
      <c r="F219" s="112"/>
      <c r="G219" s="112"/>
      <c r="H219" s="112"/>
      <c r="I219" s="77">
        <v>5241</v>
      </c>
      <c r="J219" s="78"/>
      <c r="K219" s="78"/>
      <c r="L219" s="78"/>
      <c r="M219" s="78"/>
      <c r="N219" s="78" t="s">
        <v>590</v>
      </c>
      <c r="O219" s="9"/>
      <c r="P219" s="10"/>
      <c r="Q219" s="9"/>
      <c r="R219" s="9"/>
      <c r="S219" s="9"/>
    </row>
    <row r="220" spans="1:35" ht="18.45" customHeight="1" x14ac:dyDescent="0.25">
      <c r="A220" s="93" t="s">
        <v>593</v>
      </c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</row>
    <row r="221" spans="1:35" ht="136.80000000000001" x14ac:dyDescent="0.25">
      <c r="A221" s="58">
        <v>93</v>
      </c>
      <c r="B221" s="59" t="s">
        <v>594</v>
      </c>
      <c r="C221" s="60" t="str">
        <f t="shared" ref="C221:C232" ca="1" si="6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Кладка стен приямков и каналов
-----------------------------------------------------------------------
1 м3 кладки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-----------------------------------------------------------------------9153 руб. НР 93%=122%*(0.9*0.85) от ФОТ (9842 руб.)
5315 руб. СП 54%=80%*(0.85*0.8) от ФОТ (9842 руб.)
</v>
      </c>
      <c r="D221" s="61">
        <v>8.4</v>
      </c>
      <c r="E221" s="62" t="s">
        <v>595</v>
      </c>
      <c r="F221" s="62" t="s">
        <v>596</v>
      </c>
      <c r="G221" s="62" t="s">
        <v>597</v>
      </c>
      <c r="H221" s="63" t="s">
        <v>598</v>
      </c>
      <c r="I221" s="64">
        <v>45332</v>
      </c>
      <c r="J221" s="62">
        <v>9031</v>
      </c>
      <c r="K221" s="62" t="s">
        <v>599</v>
      </c>
      <c r="L221" s="62" t="str">
        <f>IF(8.4*823.32=0," ",TEXT(,ROUND((8.4*823.32*4.68),0)))</f>
        <v>32366</v>
      </c>
      <c r="M221" s="62"/>
      <c r="N221" s="62"/>
      <c r="O221" s="65"/>
      <c r="P221" s="65"/>
      <c r="Q221" s="65"/>
      <c r="R221" s="65"/>
      <c r="S221" s="65"/>
      <c r="T221" s="66"/>
      <c r="U221" s="66"/>
      <c r="V221" s="66"/>
      <c r="W221" s="66"/>
      <c r="X221" s="66"/>
      <c r="Y221" s="66"/>
      <c r="Z221" s="66"/>
      <c r="AA221" s="66" t="s">
        <v>231</v>
      </c>
      <c r="AB221" s="66" t="s">
        <v>232</v>
      </c>
      <c r="AC221" s="66">
        <v>9153</v>
      </c>
      <c r="AD221" s="66">
        <v>5315</v>
      </c>
      <c r="AE221" s="66" t="s">
        <v>233</v>
      </c>
      <c r="AF221" s="66" t="s">
        <v>600</v>
      </c>
      <c r="AG221" s="66" t="s">
        <v>235</v>
      </c>
      <c r="AH221" s="66"/>
      <c r="AI221" s="66">
        <f>9031+811</f>
        <v>9842</v>
      </c>
    </row>
    <row r="222" spans="1:35" ht="148.19999999999999" x14ac:dyDescent="0.25">
      <c r="A222" s="58">
        <v>94</v>
      </c>
      <c r="B222" s="59" t="s">
        <v>601</v>
      </c>
      <c r="C222" s="60" t="str">
        <f t="shared" ca="1" si="6"/>
        <v xml:space="preserve">Армирование кладки стен и других конструкций  1,5*26,5=39,75кг
-----------------------------------------------------------------------
1 т металлических изделий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-----------------------------------------------------------------------340 руб. НР 93%=122%*(0.9*0.85) от ФОТ (366 руб.)
198 руб. СП 54%=80%*(0.85*0.8) от ФОТ (366 руб.)
</v>
      </c>
      <c r="D222" s="61">
        <v>3.9750000000000001E-2</v>
      </c>
      <c r="E222" s="62" t="s">
        <v>602</v>
      </c>
      <c r="F222" s="62" t="s">
        <v>603</v>
      </c>
      <c r="G222" s="62" t="s">
        <v>604</v>
      </c>
      <c r="H222" s="63" t="s">
        <v>605</v>
      </c>
      <c r="I222" s="64">
        <v>1377</v>
      </c>
      <c r="J222" s="62">
        <v>366</v>
      </c>
      <c r="K222" s="62">
        <v>24</v>
      </c>
      <c r="L222" s="62" t="str">
        <f>IF(0.03975*7200=0," ",TEXT(,ROUND((0.03975*7200*3.44),0)))</f>
        <v>985</v>
      </c>
      <c r="M222" s="62"/>
      <c r="N222" s="62"/>
      <c r="O222" s="65"/>
      <c r="P222" s="65"/>
      <c r="Q222" s="65"/>
      <c r="R222" s="65"/>
      <c r="S222" s="65"/>
      <c r="T222" s="66"/>
      <c r="U222" s="66"/>
      <c r="V222" s="66"/>
      <c r="W222" s="66"/>
      <c r="X222" s="66"/>
      <c r="Y222" s="66"/>
      <c r="Z222" s="66"/>
      <c r="AA222" s="66" t="s">
        <v>231</v>
      </c>
      <c r="AB222" s="66" t="s">
        <v>232</v>
      </c>
      <c r="AC222" s="66">
        <v>340</v>
      </c>
      <c r="AD222" s="66">
        <v>198</v>
      </c>
      <c r="AE222" s="66" t="s">
        <v>233</v>
      </c>
      <c r="AF222" s="66" t="s">
        <v>606</v>
      </c>
      <c r="AG222" s="66" t="s">
        <v>607</v>
      </c>
      <c r="AH222" s="66"/>
      <c r="AI222" s="66">
        <f>366+0</f>
        <v>366</v>
      </c>
    </row>
    <row r="223" spans="1:35" ht="148.19999999999999" x14ac:dyDescent="0.25">
      <c r="A223" s="58">
        <v>95</v>
      </c>
      <c r="B223" s="59" t="s">
        <v>608</v>
      </c>
      <c r="C223" s="60" t="str">
        <f t="shared" ca="1" si="6"/>
        <v xml:space="preserve">Штукатурка поверхностей внутри здания известковым раствором простая: по камню и бетону стен
-----------------------------------------------------------------------
100 м2 оштукатуриваемой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-----------------------------------------------------------------------5050 руб. НР 80%=105%*(0.9*0.85) от ФОТ (6312 руб.)
2335 руб. СП 37%=55%*(0.85*0.8) от ФОТ (6312 руб.)
</v>
      </c>
      <c r="D223" s="61">
        <v>0.53600000000000003</v>
      </c>
      <c r="E223" s="62" t="s">
        <v>609</v>
      </c>
      <c r="F223" s="62" t="s">
        <v>610</v>
      </c>
      <c r="G223" s="62" t="s">
        <v>611</v>
      </c>
      <c r="H223" s="63" t="s">
        <v>612</v>
      </c>
      <c r="I223" s="64">
        <v>9020</v>
      </c>
      <c r="J223" s="62">
        <v>5835</v>
      </c>
      <c r="K223" s="62" t="s">
        <v>613</v>
      </c>
      <c r="L223" s="62" t="str">
        <f>IF(0.536*810.45=0," ",TEXT(,ROUND((0.536*810.45*6.03),0)))</f>
        <v>2619</v>
      </c>
      <c r="M223" s="62" t="s">
        <v>614</v>
      </c>
      <c r="N223" s="62" t="s">
        <v>615</v>
      </c>
      <c r="O223" s="65"/>
      <c r="P223" s="65"/>
      <c r="Q223" s="65"/>
      <c r="R223" s="65"/>
      <c r="S223" s="65"/>
      <c r="T223" s="66"/>
      <c r="U223" s="66"/>
      <c r="V223" s="66"/>
      <c r="W223" s="66"/>
      <c r="X223" s="66"/>
      <c r="Y223" s="66"/>
      <c r="Z223" s="66"/>
      <c r="AA223" s="66" t="s">
        <v>616</v>
      </c>
      <c r="AB223" s="66" t="s">
        <v>617</v>
      </c>
      <c r="AC223" s="66">
        <v>5050</v>
      </c>
      <c r="AD223" s="66">
        <v>2335</v>
      </c>
      <c r="AE223" s="66" t="s">
        <v>233</v>
      </c>
      <c r="AF223" s="66" t="s">
        <v>618</v>
      </c>
      <c r="AG223" s="66" t="s">
        <v>619</v>
      </c>
      <c r="AH223" s="66"/>
      <c r="AI223" s="66">
        <f>5835+477</f>
        <v>6312</v>
      </c>
    </row>
    <row r="224" spans="1:35" ht="136.80000000000001" x14ac:dyDescent="0.25">
      <c r="A224" s="58">
        <v>96</v>
      </c>
      <c r="B224" s="59" t="s">
        <v>326</v>
      </c>
      <c r="C224" s="60" t="str">
        <f t="shared" ca="1" si="6"/>
        <v xml:space="preserve">Установка элементов каркаса: из брусьев
-----------------------------------------------------------------------
1 м3 древесины в конструкции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-----------------------------------------------------------------------18031 руб. НР 90%=118%*(0.9*0.85) от ФОТ (20034 руб.)
8615 руб. СП 43%=63%*(0.85*0.8) от ФОТ (20034 руб.)
</v>
      </c>
      <c r="D224" s="61">
        <v>5.81</v>
      </c>
      <c r="E224" s="62" t="s">
        <v>327</v>
      </c>
      <c r="F224" s="62">
        <v>41.89</v>
      </c>
      <c r="G224" s="62" t="s">
        <v>328</v>
      </c>
      <c r="H224" s="63" t="s">
        <v>329</v>
      </c>
      <c r="I224" s="64">
        <v>76179</v>
      </c>
      <c r="J224" s="62">
        <v>20034</v>
      </c>
      <c r="K224" s="62">
        <v>2729</v>
      </c>
      <c r="L224" s="62" t="str">
        <f>IF(5.81*2189=0," ",TEXT(,ROUND((5.81*2189*4.2),0)))</f>
        <v>53416</v>
      </c>
      <c r="M224" s="62"/>
      <c r="N224" s="62"/>
      <c r="O224" s="65"/>
      <c r="P224" s="65"/>
      <c r="Q224" s="65"/>
      <c r="R224" s="65"/>
      <c r="S224" s="65"/>
      <c r="T224" s="66"/>
      <c r="U224" s="66"/>
      <c r="V224" s="66"/>
      <c r="W224" s="66"/>
      <c r="X224" s="66"/>
      <c r="Y224" s="66"/>
      <c r="Z224" s="66"/>
      <c r="AA224" s="66" t="s">
        <v>165</v>
      </c>
      <c r="AB224" s="66" t="s">
        <v>166</v>
      </c>
      <c r="AC224" s="66">
        <v>18031</v>
      </c>
      <c r="AD224" s="66">
        <v>8615</v>
      </c>
      <c r="AE224" s="66" t="s">
        <v>233</v>
      </c>
      <c r="AF224" s="66" t="s">
        <v>330</v>
      </c>
      <c r="AG224" s="66" t="s">
        <v>331</v>
      </c>
      <c r="AH224" s="66"/>
      <c r="AI224" s="66">
        <f>20034+0</f>
        <v>20034</v>
      </c>
    </row>
    <row r="225" spans="1:35" ht="159.6" x14ac:dyDescent="0.25">
      <c r="A225" s="58">
        <v>97</v>
      </c>
      <c r="B225" s="59" t="s">
        <v>620</v>
      </c>
      <c r="C225" s="60" t="str">
        <f t="shared" ca="1" si="6"/>
        <v xml:space="preserve">Изоляция изделиями из волокнистых и зернистых материалов с креплением на клее и дюбелями холодных поверхностей: наружных стен
-----------------------------------------------------------------------
100 м2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-----------------------------------------------------------------------1004 руб. НР 77%=100%*(0.9*0.85) от ФОТ (1304 руб.)
626 руб. СП 48%=70%*(0.85*0.8) от ФОТ (1304 руб.)
</v>
      </c>
      <c r="D225" s="61">
        <v>0.53600000000000003</v>
      </c>
      <c r="E225" s="62" t="s">
        <v>621</v>
      </c>
      <c r="F225" s="62" t="s">
        <v>622</v>
      </c>
      <c r="G225" s="62" t="s">
        <v>623</v>
      </c>
      <c r="H225" s="63" t="s">
        <v>624</v>
      </c>
      <c r="I225" s="64">
        <v>1457</v>
      </c>
      <c r="J225" s="62">
        <v>1304</v>
      </c>
      <c r="K225" s="62">
        <v>57</v>
      </c>
      <c r="L225" s="62" t="str">
        <f>IF(0.536*105.45=0," ",TEXT(,ROUND((0.536*105.45*1.72),0)))</f>
        <v>97</v>
      </c>
      <c r="M225" s="62" t="s">
        <v>625</v>
      </c>
      <c r="N225" s="62" t="s">
        <v>626</v>
      </c>
      <c r="O225" s="65"/>
      <c r="P225" s="65"/>
      <c r="Q225" s="65"/>
      <c r="R225" s="65"/>
      <c r="S225" s="65"/>
      <c r="T225" s="66"/>
      <c r="U225" s="66"/>
      <c r="V225" s="66"/>
      <c r="W225" s="66"/>
      <c r="X225" s="66"/>
      <c r="Y225" s="66"/>
      <c r="Z225" s="66"/>
      <c r="AA225" s="66" t="s">
        <v>173</v>
      </c>
      <c r="AB225" s="66" t="s">
        <v>107</v>
      </c>
      <c r="AC225" s="66">
        <v>1004</v>
      </c>
      <c r="AD225" s="66">
        <v>626</v>
      </c>
      <c r="AE225" s="66" t="s">
        <v>233</v>
      </c>
      <c r="AF225" s="66" t="s">
        <v>627</v>
      </c>
      <c r="AG225" s="66" t="s">
        <v>628</v>
      </c>
      <c r="AH225" s="66"/>
      <c r="AI225" s="66">
        <f>1304+0</f>
        <v>1304</v>
      </c>
    </row>
    <row r="226" spans="1:35" ht="68.400000000000006" x14ac:dyDescent="0.25">
      <c r="A226" s="58">
        <v>98</v>
      </c>
      <c r="B226" s="59" t="s">
        <v>629</v>
      </c>
      <c r="C226" s="60" t="str">
        <f t="shared" ca="1" si="6"/>
        <v xml:space="preserve">Плиты теплоизоляционные энергетические гидрофобизированные базальтовые:ПТЭ-125, размером 2000х1000х50мм  4105/5,63=729,16
-----------------------------------------------------------------------
м3
</v>
      </c>
      <c r="D226" s="61">
        <v>2.7</v>
      </c>
      <c r="E226" s="62">
        <v>729.16</v>
      </c>
      <c r="F226" s="62"/>
      <c r="G226" s="62" t="s">
        <v>283</v>
      </c>
      <c r="H226" s="63" t="s">
        <v>284</v>
      </c>
      <c r="I226" s="64">
        <v>11085</v>
      </c>
      <c r="J226" s="62"/>
      <c r="K226" s="62"/>
      <c r="L226" s="62" t="str">
        <f>IF(2.7*729.16=0," ",TEXT(,ROUND((2.7*729.16*5.63),0)))</f>
        <v>11084</v>
      </c>
      <c r="M226" s="62"/>
      <c r="N226" s="62"/>
      <c r="O226" s="65"/>
      <c r="P226" s="65"/>
      <c r="Q226" s="65"/>
      <c r="R226" s="65"/>
      <c r="S226" s="65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 t="s">
        <v>630</v>
      </c>
      <c r="AG226" s="66" t="s">
        <v>286</v>
      </c>
      <c r="AH226" s="66"/>
      <c r="AI226" s="66">
        <f>0+0</f>
        <v>0</v>
      </c>
    </row>
    <row r="227" spans="1:35" ht="57" x14ac:dyDescent="0.25">
      <c r="A227" s="58">
        <v>99</v>
      </c>
      <c r="B227" s="59" t="s">
        <v>631</v>
      </c>
      <c r="C227" s="60" t="str">
        <f t="shared" ca="1" si="6"/>
        <v xml:space="preserve">Дюбель распорный с металлическим стержнем 10х120 мм
-----------------------------------------------------------------------
10 шт.
</v>
      </c>
      <c r="D227" s="61">
        <v>19.2</v>
      </c>
      <c r="E227" s="62">
        <v>6.22</v>
      </c>
      <c r="F227" s="62"/>
      <c r="G227" s="62" t="s">
        <v>632</v>
      </c>
      <c r="H227" s="63" t="s">
        <v>633</v>
      </c>
      <c r="I227" s="64">
        <v>126</v>
      </c>
      <c r="J227" s="62"/>
      <c r="K227" s="62"/>
      <c r="L227" s="62" t="str">
        <f>IF(19.2*6.22=0," ",TEXT(,ROUND((19.2*6.22*1.057),0)))</f>
        <v>126</v>
      </c>
      <c r="M227" s="62"/>
      <c r="N227" s="62"/>
      <c r="O227" s="65"/>
      <c r="P227" s="65"/>
      <c r="Q227" s="65"/>
      <c r="R227" s="65"/>
      <c r="S227" s="65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 t="s">
        <v>634</v>
      </c>
      <c r="AG227" s="66" t="s">
        <v>635</v>
      </c>
      <c r="AH227" s="66"/>
      <c r="AI227" s="66">
        <f>0+0</f>
        <v>0</v>
      </c>
    </row>
    <row r="228" spans="1:35" ht="159.6" x14ac:dyDescent="0.25">
      <c r="A228" s="58">
        <v>100</v>
      </c>
      <c r="B228" s="59" t="s">
        <v>374</v>
      </c>
      <c r="C228" s="60" t="str">
        <f t="shared" ca="1" si="6"/>
        <v xml:space="preserve">Обивка стен кровельной сталью: оцинкованной по асбесту
-----------------------------------------------------------------------
100 м2 стен, фронтонов (за вычетом проемов) и развернутых поверхностей карнизов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-----------------------------------------------------------------------1803 руб. НР 90%=118%*(0.9*0.85) от ФОТ (2003 руб.)
861 руб. СП 43%=63%*(0.85*0.8) от ФОТ (2003 руб.)
</v>
      </c>
      <c r="D228" s="61">
        <v>0.53600000000000003</v>
      </c>
      <c r="E228" s="62" t="s">
        <v>375</v>
      </c>
      <c r="F228" s="62">
        <v>25.06</v>
      </c>
      <c r="G228" s="62" t="s">
        <v>376</v>
      </c>
      <c r="H228" s="63" t="s">
        <v>377</v>
      </c>
      <c r="I228" s="64">
        <v>18866</v>
      </c>
      <c r="J228" s="62">
        <v>2003</v>
      </c>
      <c r="K228" s="62">
        <v>151</v>
      </c>
      <c r="L228" s="62" t="str">
        <f>IF(0.536*6549.28=0," ",TEXT(,ROUND((0.536*6549.28*4.76),0)))</f>
        <v>16710</v>
      </c>
      <c r="M228" s="62">
        <v>28.864999999999998</v>
      </c>
      <c r="N228" s="62">
        <v>15.47</v>
      </c>
      <c r="O228" s="65"/>
      <c r="P228" s="65"/>
      <c r="Q228" s="65"/>
      <c r="R228" s="65"/>
      <c r="S228" s="65"/>
      <c r="T228" s="66"/>
      <c r="U228" s="66"/>
      <c r="V228" s="66"/>
      <c r="W228" s="66"/>
      <c r="X228" s="66"/>
      <c r="Y228" s="66"/>
      <c r="Z228" s="66"/>
      <c r="AA228" s="66" t="s">
        <v>165</v>
      </c>
      <c r="AB228" s="66" t="s">
        <v>166</v>
      </c>
      <c r="AC228" s="66">
        <v>1803</v>
      </c>
      <c r="AD228" s="66">
        <v>861</v>
      </c>
      <c r="AE228" s="66" t="s">
        <v>233</v>
      </c>
      <c r="AF228" s="66" t="s">
        <v>378</v>
      </c>
      <c r="AG228" s="66" t="s">
        <v>379</v>
      </c>
      <c r="AH228" s="66"/>
      <c r="AI228" s="66">
        <f>2003+0</f>
        <v>2003</v>
      </c>
    </row>
    <row r="229" spans="1:35" ht="57" x14ac:dyDescent="0.25">
      <c r="A229" s="58">
        <v>101</v>
      </c>
      <c r="B229" s="59" t="s">
        <v>380</v>
      </c>
      <c r="C229" s="60" t="str">
        <f t="shared" ca="1" si="6"/>
        <v xml:space="preserve">Картон асбестовый общего назначения марки КАОН-1 толщиной 4 и 6 мм
-----------------------------------------------------------------------
т
</v>
      </c>
      <c r="D229" s="61">
        <v>-0.17150000000000001</v>
      </c>
      <c r="E229" s="62">
        <v>5040</v>
      </c>
      <c r="F229" s="62"/>
      <c r="G229" s="62" t="s">
        <v>381</v>
      </c>
      <c r="H229" s="63" t="s">
        <v>382</v>
      </c>
      <c r="I229" s="64">
        <v>-7350</v>
      </c>
      <c r="J229" s="62"/>
      <c r="K229" s="62"/>
      <c r="L229" s="62" t="str">
        <f>IF(-0.1715*5040=0," ",TEXT(,ROUND((-0.1715*5040*8.507),0)))</f>
        <v>-7353</v>
      </c>
      <c r="M229" s="62"/>
      <c r="N229" s="62"/>
      <c r="O229" s="65"/>
      <c r="P229" s="65"/>
      <c r="Q229" s="65"/>
      <c r="R229" s="65"/>
      <c r="S229" s="65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 t="s">
        <v>383</v>
      </c>
      <c r="AG229" s="66" t="s">
        <v>354</v>
      </c>
      <c r="AH229" s="66"/>
      <c r="AI229" s="66">
        <f>0+0</f>
        <v>0</v>
      </c>
    </row>
    <row r="230" spans="1:35" ht="136.80000000000001" x14ac:dyDescent="0.25">
      <c r="A230" s="58">
        <v>102</v>
      </c>
      <c r="B230" s="59" t="s">
        <v>636</v>
      </c>
      <c r="C230" s="60" t="str">
        <f t="shared" ca="1" si="6"/>
        <v xml:space="preserve">Устройство колпаков над шахтами в два канала
-----------------------------------------------------------------------
1 колпак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-----------------------------------------------------------------------1390 руб. НР 92%=120%*(0.9*0.85) от ФОТ (1511 руб.)
665 руб. СП 44%=65%*(0.85*0.8) от ФОТ (1511 руб.)
</v>
      </c>
      <c r="D230" s="61">
        <v>5</v>
      </c>
      <c r="E230" s="62" t="s">
        <v>637</v>
      </c>
      <c r="F230" s="62">
        <v>1.0900000000000001</v>
      </c>
      <c r="G230" s="62" t="s">
        <v>638</v>
      </c>
      <c r="H230" s="63" t="s">
        <v>639</v>
      </c>
      <c r="I230" s="64">
        <v>8889</v>
      </c>
      <c r="J230" s="62">
        <v>1511</v>
      </c>
      <c r="K230" s="62">
        <v>58</v>
      </c>
      <c r="L230" s="62" t="str">
        <f>IF(5*426.8=0," ",TEXT(,ROUND((5*426.8*3.43),0)))</f>
        <v>7320</v>
      </c>
      <c r="M230" s="62"/>
      <c r="N230" s="62"/>
      <c r="O230" s="65"/>
      <c r="P230" s="65"/>
      <c r="Q230" s="65"/>
      <c r="R230" s="65"/>
      <c r="S230" s="65"/>
      <c r="T230" s="66"/>
      <c r="U230" s="66"/>
      <c r="V230" s="66"/>
      <c r="W230" s="66"/>
      <c r="X230" s="66"/>
      <c r="Y230" s="66"/>
      <c r="Z230" s="66"/>
      <c r="AA230" s="66" t="s">
        <v>258</v>
      </c>
      <c r="AB230" s="66" t="s">
        <v>174</v>
      </c>
      <c r="AC230" s="66">
        <v>1390</v>
      </c>
      <c r="AD230" s="66">
        <v>665</v>
      </c>
      <c r="AE230" s="66" t="s">
        <v>233</v>
      </c>
      <c r="AF230" s="66" t="s">
        <v>640</v>
      </c>
      <c r="AG230" s="66" t="s">
        <v>641</v>
      </c>
      <c r="AH230" s="66"/>
      <c r="AI230" s="66">
        <f>1511+0</f>
        <v>1511</v>
      </c>
    </row>
    <row r="231" spans="1:35" ht="148.19999999999999" x14ac:dyDescent="0.25">
      <c r="A231" s="58">
        <v>103</v>
      </c>
      <c r="B231" s="59" t="s">
        <v>642</v>
      </c>
      <c r="C231" s="60" t="str">
        <f t="shared" ca="1" si="6"/>
        <v xml:space="preserve">Огрунтовка металлических поверхностей за один раз: грунтовкой ГФ-021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-----------------------------------------------------------------------33 руб. НР 69%=90%*(0.9*0.85) от ФОТ (48 руб.)
23 руб. СП 48%=70%*(0.85*0.8) от ФОТ (48 руб.)
</v>
      </c>
      <c r="D231" s="61">
        <v>5.1999999999999998E-2</v>
      </c>
      <c r="E231" s="62" t="s">
        <v>503</v>
      </c>
      <c r="F231" s="62" t="s">
        <v>504</v>
      </c>
      <c r="G231" s="62" t="s">
        <v>505</v>
      </c>
      <c r="H231" s="63" t="s">
        <v>506</v>
      </c>
      <c r="I231" s="64">
        <v>112</v>
      </c>
      <c r="J231" s="62">
        <v>48</v>
      </c>
      <c r="K231" s="62">
        <v>11</v>
      </c>
      <c r="L231" s="62" t="str">
        <f>IF(0.052*202.72=0," ",TEXT(,ROUND((0.052*202.72*4.81),0)))</f>
        <v>51</v>
      </c>
      <c r="M231" s="62"/>
      <c r="N231" s="62"/>
      <c r="O231" s="65"/>
      <c r="P231" s="65"/>
      <c r="Q231" s="65"/>
      <c r="R231" s="65"/>
      <c r="S231" s="65"/>
      <c r="T231" s="66"/>
      <c r="U231" s="66"/>
      <c r="V231" s="66"/>
      <c r="W231" s="66"/>
      <c r="X231" s="66"/>
      <c r="Y231" s="66"/>
      <c r="Z231" s="66"/>
      <c r="AA231" s="66" t="s">
        <v>509</v>
      </c>
      <c r="AB231" s="66" t="s">
        <v>107</v>
      </c>
      <c r="AC231" s="66">
        <v>33</v>
      </c>
      <c r="AD231" s="66">
        <v>23</v>
      </c>
      <c r="AE231" s="66" t="s">
        <v>233</v>
      </c>
      <c r="AF231" s="66" t="s">
        <v>510</v>
      </c>
      <c r="AG231" s="66" t="s">
        <v>511</v>
      </c>
      <c r="AH231" s="66"/>
      <c r="AI231" s="66">
        <f>48+0</f>
        <v>48</v>
      </c>
    </row>
    <row r="232" spans="1:35" ht="159.6" x14ac:dyDescent="0.25">
      <c r="A232" s="68">
        <v>104</v>
      </c>
      <c r="B232" s="69" t="s">
        <v>570</v>
      </c>
      <c r="C232" s="70" t="str">
        <f t="shared" ca="1" si="6"/>
        <v xml:space="preserve">Окраска металлических огрунтованных поверхностей: эмалью ПФ-115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МАТ=2)
-----------------------------------------------------------------------44 руб. НР 69%=90%*(0.9*0.85) от ФОТ (64 руб.)
31 руб. СП 48%=70%*(0.85*0.8) от ФОТ (64 руб.)
</v>
      </c>
      <c r="D232" s="71">
        <v>5.1999999999999998E-2</v>
      </c>
      <c r="E232" s="72" t="s">
        <v>513</v>
      </c>
      <c r="F232" s="72" t="s">
        <v>514</v>
      </c>
      <c r="G232" s="72" t="s">
        <v>515</v>
      </c>
      <c r="H232" s="73" t="s">
        <v>516</v>
      </c>
      <c r="I232" s="74">
        <v>250</v>
      </c>
      <c r="J232" s="72">
        <v>64</v>
      </c>
      <c r="K232" s="72">
        <v>11</v>
      </c>
      <c r="L232" s="72" t="str">
        <f>IF(0.052*562.56=0," ",TEXT(,ROUND((0.052*562.56*6.04),0)))</f>
        <v>177</v>
      </c>
      <c r="M232" s="72"/>
      <c r="N232" s="72"/>
      <c r="O232" s="65"/>
      <c r="P232" s="65"/>
      <c r="Q232" s="65"/>
      <c r="R232" s="65"/>
      <c r="S232" s="65"/>
      <c r="T232" s="66"/>
      <c r="U232" s="66"/>
      <c r="V232" s="66"/>
      <c r="W232" s="66"/>
      <c r="X232" s="66"/>
      <c r="Y232" s="66"/>
      <c r="Z232" s="66"/>
      <c r="AA232" s="66" t="s">
        <v>509</v>
      </c>
      <c r="AB232" s="66" t="s">
        <v>107</v>
      </c>
      <c r="AC232" s="66">
        <v>44</v>
      </c>
      <c r="AD232" s="66">
        <v>31</v>
      </c>
      <c r="AE232" s="79" t="s">
        <v>571</v>
      </c>
      <c r="AF232" s="66" t="s">
        <v>643</v>
      </c>
      <c r="AG232" s="66" t="s">
        <v>511</v>
      </c>
      <c r="AH232" s="66"/>
      <c r="AI232" s="66">
        <f>64+0</f>
        <v>64</v>
      </c>
    </row>
    <row r="233" spans="1:35" ht="34.200000000000003" x14ac:dyDescent="0.25">
      <c r="A233" s="90" t="s">
        <v>199</v>
      </c>
      <c r="B233" s="91"/>
      <c r="C233" s="91"/>
      <c r="D233" s="91"/>
      <c r="E233" s="91"/>
      <c r="F233" s="91"/>
      <c r="G233" s="91"/>
      <c r="H233" s="91"/>
      <c r="I233" s="64">
        <v>30496</v>
      </c>
      <c r="J233" s="62">
        <v>2528</v>
      </c>
      <c r="K233" s="62" t="s">
        <v>644</v>
      </c>
      <c r="L233" s="62">
        <v>27320</v>
      </c>
      <c r="M233" s="62"/>
      <c r="N233" s="62" t="s">
        <v>645</v>
      </c>
      <c r="O233" s="9"/>
      <c r="P233" s="10"/>
      <c r="Q233" s="9"/>
      <c r="R233" s="9"/>
      <c r="S233" s="9"/>
    </row>
    <row r="234" spans="1:35" ht="34.200000000000003" x14ac:dyDescent="0.25">
      <c r="A234" s="90" t="s">
        <v>202</v>
      </c>
      <c r="B234" s="91"/>
      <c r="C234" s="91"/>
      <c r="D234" s="91"/>
      <c r="E234" s="91"/>
      <c r="F234" s="91"/>
      <c r="G234" s="91"/>
      <c r="H234" s="91"/>
      <c r="I234" s="64">
        <v>165343</v>
      </c>
      <c r="J234" s="62">
        <v>40196</v>
      </c>
      <c r="K234" s="62" t="s">
        <v>646</v>
      </c>
      <c r="L234" s="62">
        <v>117604</v>
      </c>
      <c r="M234" s="62"/>
      <c r="N234" s="62" t="s">
        <v>645</v>
      </c>
      <c r="O234" s="9"/>
      <c r="P234" s="10"/>
      <c r="Q234" s="9"/>
      <c r="R234" s="9"/>
      <c r="S234" s="9"/>
    </row>
    <row r="235" spans="1:35" x14ac:dyDescent="0.25">
      <c r="A235" s="90" t="s">
        <v>204</v>
      </c>
      <c r="B235" s="91"/>
      <c r="C235" s="91"/>
      <c r="D235" s="91"/>
      <c r="E235" s="91"/>
      <c r="F235" s="91"/>
      <c r="G235" s="91"/>
      <c r="H235" s="91"/>
      <c r="I235" s="64">
        <v>36847</v>
      </c>
      <c r="J235" s="62"/>
      <c r="K235" s="62"/>
      <c r="L235" s="62"/>
      <c r="M235" s="62"/>
      <c r="N235" s="62"/>
      <c r="O235" s="9"/>
      <c r="P235" s="10"/>
      <c r="Q235" s="9"/>
      <c r="R235" s="9"/>
      <c r="S235" s="9"/>
    </row>
    <row r="236" spans="1:35" x14ac:dyDescent="0.25">
      <c r="A236" s="90" t="s">
        <v>205</v>
      </c>
      <c r="B236" s="91"/>
      <c r="C236" s="91"/>
      <c r="D236" s="91"/>
      <c r="E236" s="91"/>
      <c r="F236" s="91"/>
      <c r="G236" s="91"/>
      <c r="H236" s="91"/>
      <c r="I236" s="64">
        <v>18668</v>
      </c>
      <c r="J236" s="62"/>
      <c r="K236" s="62"/>
      <c r="L236" s="62"/>
      <c r="M236" s="62"/>
      <c r="N236" s="62"/>
      <c r="O236" s="9"/>
      <c r="P236" s="10"/>
      <c r="Q236" s="9"/>
      <c r="R236" s="9"/>
      <c r="S236" s="9"/>
    </row>
    <row r="237" spans="1:35" x14ac:dyDescent="0.25">
      <c r="A237" s="93" t="s">
        <v>647</v>
      </c>
      <c r="B237" s="94"/>
      <c r="C237" s="94"/>
      <c r="D237" s="94"/>
      <c r="E237" s="94"/>
      <c r="F237" s="94"/>
      <c r="G237" s="94"/>
      <c r="H237" s="94"/>
      <c r="I237" s="75"/>
      <c r="J237" s="76"/>
      <c r="K237" s="76"/>
      <c r="L237" s="76"/>
      <c r="M237" s="76"/>
      <c r="N237" s="76"/>
      <c r="O237" s="9"/>
      <c r="P237" s="10"/>
      <c r="Q237" s="9"/>
      <c r="R237" s="9"/>
      <c r="S237" s="9"/>
    </row>
    <row r="238" spans="1:35" x14ac:dyDescent="0.25">
      <c r="A238" s="90" t="s">
        <v>406</v>
      </c>
      <c r="B238" s="91"/>
      <c r="C238" s="91"/>
      <c r="D238" s="91"/>
      <c r="E238" s="91"/>
      <c r="F238" s="91"/>
      <c r="G238" s="91"/>
      <c r="H238" s="91"/>
      <c r="I238" s="64">
        <v>61714</v>
      </c>
      <c r="J238" s="62"/>
      <c r="K238" s="62"/>
      <c r="L238" s="62"/>
      <c r="M238" s="62"/>
      <c r="N238" s="62"/>
      <c r="O238" s="9"/>
      <c r="P238" s="10"/>
      <c r="Q238" s="9"/>
      <c r="R238" s="9"/>
      <c r="S238" s="9"/>
    </row>
    <row r="239" spans="1:35" ht="34.200000000000003" x14ac:dyDescent="0.25">
      <c r="A239" s="90" t="s">
        <v>648</v>
      </c>
      <c r="B239" s="91"/>
      <c r="C239" s="91"/>
      <c r="D239" s="91"/>
      <c r="E239" s="91"/>
      <c r="F239" s="91"/>
      <c r="G239" s="91"/>
      <c r="H239" s="91"/>
      <c r="I239" s="64">
        <v>16405</v>
      </c>
      <c r="J239" s="62"/>
      <c r="K239" s="62"/>
      <c r="L239" s="62"/>
      <c r="M239" s="62"/>
      <c r="N239" s="62" t="s">
        <v>649</v>
      </c>
      <c r="O239" s="9"/>
      <c r="P239" s="10"/>
      <c r="Q239" s="9"/>
      <c r="R239" s="9"/>
      <c r="S239" s="9"/>
    </row>
    <row r="240" spans="1:35" x14ac:dyDescent="0.25">
      <c r="A240" s="90" t="s">
        <v>212</v>
      </c>
      <c r="B240" s="91"/>
      <c r="C240" s="91"/>
      <c r="D240" s="91"/>
      <c r="E240" s="91"/>
      <c r="F240" s="91"/>
      <c r="G240" s="91"/>
      <c r="H240" s="91"/>
      <c r="I240" s="64">
        <v>117004</v>
      </c>
      <c r="J240" s="62"/>
      <c r="K240" s="62"/>
      <c r="L240" s="62"/>
      <c r="M240" s="62"/>
      <c r="N240" s="62">
        <v>15.47</v>
      </c>
      <c r="O240" s="9"/>
      <c r="P240" s="10"/>
      <c r="Q240" s="9"/>
      <c r="R240" s="9"/>
      <c r="S240" s="9"/>
    </row>
    <row r="241" spans="1:35" ht="34.200000000000003" x14ac:dyDescent="0.25">
      <c r="A241" s="90" t="s">
        <v>409</v>
      </c>
      <c r="B241" s="91"/>
      <c r="C241" s="91"/>
      <c r="D241" s="91"/>
      <c r="E241" s="91"/>
      <c r="F241" s="91"/>
      <c r="G241" s="91"/>
      <c r="H241" s="91"/>
      <c r="I241" s="64">
        <v>14298</v>
      </c>
      <c r="J241" s="62"/>
      <c r="K241" s="62"/>
      <c r="L241" s="62"/>
      <c r="M241" s="62"/>
      <c r="N241" s="62" t="s">
        <v>650</v>
      </c>
      <c r="O241" s="9"/>
      <c r="P241" s="10"/>
      <c r="Q241" s="9"/>
      <c r="R241" s="9"/>
      <c r="S241" s="9"/>
    </row>
    <row r="242" spans="1:35" x14ac:dyDescent="0.25">
      <c r="A242" s="90" t="s">
        <v>407</v>
      </c>
      <c r="B242" s="91"/>
      <c r="C242" s="91"/>
      <c r="D242" s="91"/>
      <c r="E242" s="91"/>
      <c r="F242" s="91"/>
      <c r="G242" s="91"/>
      <c r="H242" s="91"/>
      <c r="I242" s="64">
        <v>10944</v>
      </c>
      <c r="J242" s="62"/>
      <c r="K242" s="62"/>
      <c r="L242" s="62"/>
      <c r="M242" s="62"/>
      <c r="N242" s="62"/>
      <c r="O242" s="9"/>
      <c r="P242" s="10"/>
      <c r="Q242" s="9"/>
      <c r="R242" s="9"/>
      <c r="S242" s="9"/>
    </row>
    <row r="243" spans="1:35" x14ac:dyDescent="0.25">
      <c r="A243" s="90" t="s">
        <v>528</v>
      </c>
      <c r="B243" s="91"/>
      <c r="C243" s="91"/>
      <c r="D243" s="91"/>
      <c r="E243" s="91"/>
      <c r="F243" s="91"/>
      <c r="G243" s="91"/>
      <c r="H243" s="91"/>
      <c r="I243" s="64">
        <v>493</v>
      </c>
      <c r="J243" s="62"/>
      <c r="K243" s="62"/>
      <c r="L243" s="62"/>
      <c r="M243" s="62"/>
      <c r="N243" s="62"/>
      <c r="O243" s="9"/>
      <c r="P243" s="10"/>
      <c r="Q243" s="9"/>
      <c r="R243" s="9"/>
      <c r="S243" s="9"/>
    </row>
    <row r="244" spans="1:35" ht="34.200000000000003" x14ac:dyDescent="0.25">
      <c r="A244" s="90" t="s">
        <v>217</v>
      </c>
      <c r="B244" s="91"/>
      <c r="C244" s="91"/>
      <c r="D244" s="91"/>
      <c r="E244" s="91"/>
      <c r="F244" s="91"/>
      <c r="G244" s="91"/>
      <c r="H244" s="91"/>
      <c r="I244" s="64">
        <v>220858</v>
      </c>
      <c r="J244" s="62"/>
      <c r="K244" s="62"/>
      <c r="L244" s="62"/>
      <c r="M244" s="62"/>
      <c r="N244" s="62" t="s">
        <v>645</v>
      </c>
      <c r="O244" s="9"/>
      <c r="P244" s="10"/>
      <c r="Q244" s="9"/>
      <c r="R244" s="9"/>
      <c r="S244" s="9"/>
    </row>
    <row r="245" spans="1:35" x14ac:dyDescent="0.25">
      <c r="A245" s="90" t="s">
        <v>218</v>
      </c>
      <c r="B245" s="91"/>
      <c r="C245" s="91"/>
      <c r="D245" s="91"/>
      <c r="E245" s="91"/>
      <c r="F245" s="91"/>
      <c r="G245" s="91"/>
      <c r="H245" s="91"/>
      <c r="I245" s="64"/>
      <c r="J245" s="62"/>
      <c r="K245" s="62"/>
      <c r="L245" s="62"/>
      <c r="M245" s="62"/>
      <c r="N245" s="62"/>
      <c r="O245" s="9"/>
      <c r="P245" s="10"/>
      <c r="Q245" s="9"/>
      <c r="R245" s="9"/>
      <c r="S245" s="9"/>
    </row>
    <row r="246" spans="1:35" x14ac:dyDescent="0.25">
      <c r="A246" s="90" t="s">
        <v>412</v>
      </c>
      <c r="B246" s="91"/>
      <c r="C246" s="91"/>
      <c r="D246" s="91"/>
      <c r="E246" s="91"/>
      <c r="F246" s="91"/>
      <c r="G246" s="91"/>
      <c r="H246" s="91"/>
      <c r="I246" s="64">
        <v>117604</v>
      </c>
      <c r="J246" s="62"/>
      <c r="K246" s="62"/>
      <c r="L246" s="62"/>
      <c r="M246" s="62"/>
      <c r="N246" s="62"/>
      <c r="O246" s="9"/>
      <c r="P246" s="10"/>
      <c r="Q246" s="9"/>
      <c r="R246" s="9"/>
      <c r="S246" s="9"/>
    </row>
    <row r="247" spans="1:35" x14ac:dyDescent="0.25">
      <c r="A247" s="90" t="s">
        <v>219</v>
      </c>
      <c r="B247" s="91"/>
      <c r="C247" s="91"/>
      <c r="D247" s="91"/>
      <c r="E247" s="91"/>
      <c r="F247" s="91"/>
      <c r="G247" s="91"/>
      <c r="H247" s="91"/>
      <c r="I247" s="64">
        <v>7543</v>
      </c>
      <c r="J247" s="62"/>
      <c r="K247" s="62"/>
      <c r="L247" s="62"/>
      <c r="M247" s="62"/>
      <c r="N247" s="62"/>
      <c r="O247" s="9"/>
      <c r="P247" s="10"/>
      <c r="Q247" s="9"/>
      <c r="R247" s="9"/>
      <c r="S247" s="9"/>
    </row>
    <row r="248" spans="1:35" x14ac:dyDescent="0.25">
      <c r="A248" s="90" t="s">
        <v>220</v>
      </c>
      <c r="B248" s="91"/>
      <c r="C248" s="91"/>
      <c r="D248" s="91"/>
      <c r="E248" s="91"/>
      <c r="F248" s="91"/>
      <c r="G248" s="91"/>
      <c r="H248" s="91"/>
      <c r="I248" s="64">
        <v>41484</v>
      </c>
      <c r="J248" s="62"/>
      <c r="K248" s="62"/>
      <c r="L248" s="62"/>
      <c r="M248" s="62"/>
      <c r="N248" s="62"/>
      <c r="O248" s="9"/>
      <c r="P248" s="10"/>
      <c r="Q248" s="9"/>
      <c r="R248" s="9"/>
      <c r="S248" s="9"/>
    </row>
    <row r="249" spans="1:35" x14ac:dyDescent="0.25">
      <c r="A249" s="90" t="s">
        <v>221</v>
      </c>
      <c r="B249" s="91"/>
      <c r="C249" s="91"/>
      <c r="D249" s="91"/>
      <c r="E249" s="91"/>
      <c r="F249" s="91"/>
      <c r="G249" s="91"/>
      <c r="H249" s="91"/>
      <c r="I249" s="64">
        <v>36847</v>
      </c>
      <c r="J249" s="62"/>
      <c r="K249" s="62"/>
      <c r="L249" s="62"/>
      <c r="M249" s="62"/>
      <c r="N249" s="62"/>
      <c r="O249" s="9"/>
      <c r="P249" s="10"/>
      <c r="Q249" s="9"/>
      <c r="R249" s="9"/>
      <c r="S249" s="9"/>
    </row>
    <row r="250" spans="1:35" x14ac:dyDescent="0.25">
      <c r="A250" s="90" t="s">
        <v>222</v>
      </c>
      <c r="B250" s="91"/>
      <c r="C250" s="91"/>
      <c r="D250" s="91"/>
      <c r="E250" s="91"/>
      <c r="F250" s="91"/>
      <c r="G250" s="91"/>
      <c r="H250" s="91"/>
      <c r="I250" s="64">
        <v>18668</v>
      </c>
      <c r="J250" s="62"/>
      <c r="K250" s="62"/>
      <c r="L250" s="62"/>
      <c r="M250" s="62"/>
      <c r="N250" s="62"/>
      <c r="O250" s="9"/>
      <c r="P250" s="10"/>
      <c r="Q250" s="9"/>
      <c r="R250" s="9"/>
      <c r="S250" s="9"/>
    </row>
    <row r="251" spans="1:35" ht="34.200000000000003" x14ac:dyDescent="0.25">
      <c r="A251" s="111" t="s">
        <v>651</v>
      </c>
      <c r="B251" s="112"/>
      <c r="C251" s="112"/>
      <c r="D251" s="112"/>
      <c r="E251" s="112"/>
      <c r="F251" s="112"/>
      <c r="G251" s="112"/>
      <c r="H251" s="112"/>
      <c r="I251" s="77">
        <v>220858</v>
      </c>
      <c r="J251" s="78"/>
      <c r="K251" s="78"/>
      <c r="L251" s="78"/>
      <c r="M251" s="78"/>
      <c r="N251" s="78" t="s">
        <v>645</v>
      </c>
      <c r="O251" s="9"/>
      <c r="P251" s="10"/>
      <c r="Q251" s="9"/>
      <c r="R251" s="9"/>
      <c r="S251" s="9"/>
    </row>
    <row r="252" spans="1:35" ht="18.45" customHeight="1" x14ac:dyDescent="0.25">
      <c r="A252" s="93" t="s">
        <v>652</v>
      </c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</row>
    <row r="253" spans="1:35" ht="148.19999999999999" x14ac:dyDescent="0.25">
      <c r="A253" s="58">
        <v>105</v>
      </c>
      <c r="B253" s="59" t="s">
        <v>653</v>
      </c>
      <c r="C253" s="60" t="str">
        <f t="shared" ref="C253:C259" ca="1" si="7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Монтаж лестниц прямолинейных и криволинейных, пожарных с ограждением Кровельная лестница
-----------------------------------------------------------------------
1 т конструкций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-----------------------------------------------------------------------1141 руб. НР 69%=90%*(0.9*0.85) от ФОТ (1654 руб.)
959 руб. СП 58%=85%*(0.85*0.8) от ФОТ (1654 руб.)
</v>
      </c>
      <c r="D253" s="61">
        <v>0.23400000000000001</v>
      </c>
      <c r="E253" s="62" t="s">
        <v>654</v>
      </c>
      <c r="F253" s="62" t="s">
        <v>655</v>
      </c>
      <c r="G253" s="62" t="s">
        <v>656</v>
      </c>
      <c r="H253" s="63" t="s">
        <v>657</v>
      </c>
      <c r="I253" s="64">
        <v>3573</v>
      </c>
      <c r="J253" s="62">
        <v>1304</v>
      </c>
      <c r="K253" s="62" t="s">
        <v>658</v>
      </c>
      <c r="L253" s="62" t="str">
        <f>IF(0.234*88.5=0," ",TEXT(,ROUND((0.234*88.5*6.75),0)))</f>
        <v>140</v>
      </c>
      <c r="M253" s="62" t="s">
        <v>659</v>
      </c>
      <c r="N253" s="62" t="s">
        <v>660</v>
      </c>
      <c r="O253" s="65"/>
      <c r="P253" s="65"/>
      <c r="Q253" s="65"/>
      <c r="R253" s="65"/>
      <c r="S253" s="65"/>
      <c r="T253" s="66"/>
      <c r="U253" s="66"/>
      <c r="V253" s="66"/>
      <c r="W253" s="66"/>
      <c r="X253" s="66"/>
      <c r="Y253" s="66"/>
      <c r="Z253" s="66"/>
      <c r="AA253" s="66" t="s">
        <v>509</v>
      </c>
      <c r="AB253" s="66" t="s">
        <v>317</v>
      </c>
      <c r="AC253" s="66">
        <v>1141</v>
      </c>
      <c r="AD253" s="66">
        <v>959</v>
      </c>
      <c r="AE253" s="66" t="s">
        <v>233</v>
      </c>
      <c r="AF253" s="66" t="s">
        <v>661</v>
      </c>
      <c r="AG253" s="66" t="s">
        <v>662</v>
      </c>
      <c r="AH253" s="66"/>
      <c r="AI253" s="66">
        <f>1304+350</f>
        <v>1654</v>
      </c>
    </row>
    <row r="254" spans="1:35" ht="79.8" x14ac:dyDescent="0.25">
      <c r="A254" s="58">
        <v>106</v>
      </c>
      <c r="B254" s="59" t="s">
        <v>569</v>
      </c>
      <c r="C254" s="60" t="str">
        <f t="shared" ca="1" si="7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-----------------------------------------------------------------------
т
</v>
      </c>
      <c r="D254" s="61">
        <v>0.23400000000000001</v>
      </c>
      <c r="E254" s="62">
        <v>10045</v>
      </c>
      <c r="F254" s="62"/>
      <c r="G254" s="62" t="s">
        <v>566</v>
      </c>
      <c r="H254" s="63" t="s">
        <v>567</v>
      </c>
      <c r="I254" s="64">
        <v>17120</v>
      </c>
      <c r="J254" s="62"/>
      <c r="K254" s="62"/>
      <c r="L254" s="62" t="str">
        <f>IF(0.234*10045=0," ",TEXT(,ROUND((0.234*10045*7.282),0)))</f>
        <v>17117</v>
      </c>
      <c r="M254" s="62"/>
      <c r="N254" s="62"/>
      <c r="O254" s="65"/>
      <c r="P254" s="65"/>
      <c r="Q254" s="65"/>
      <c r="R254" s="65"/>
      <c r="S254" s="65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 t="s">
        <v>568</v>
      </c>
      <c r="AG254" s="66" t="s">
        <v>354</v>
      </c>
      <c r="AH254" s="66"/>
      <c r="AI254" s="66">
        <f>0+0</f>
        <v>0</v>
      </c>
    </row>
    <row r="255" spans="1:35" ht="57" x14ac:dyDescent="0.25">
      <c r="A255" s="58">
        <v>107</v>
      </c>
      <c r="B255" s="59" t="s">
        <v>663</v>
      </c>
      <c r="C255" s="60" t="str">
        <f t="shared" ca="1" si="7"/>
        <v xml:space="preserve">Болты с гайками и шайбами оцинкованные, диаметр 8 мм
-----------------------------------------------------------------------
кг
</v>
      </c>
      <c r="D255" s="61">
        <v>1.62</v>
      </c>
      <c r="E255" s="62">
        <v>26.94</v>
      </c>
      <c r="F255" s="62"/>
      <c r="G255" s="62" t="s">
        <v>664</v>
      </c>
      <c r="H255" s="63" t="s">
        <v>665</v>
      </c>
      <c r="I255" s="64">
        <v>113</v>
      </c>
      <c r="J255" s="62"/>
      <c r="K255" s="62"/>
      <c r="L255" s="62" t="str">
        <f>IF(1.62*26.94=0," ",TEXT(,ROUND((1.62*26.94*2.557),0)))</f>
        <v>112</v>
      </c>
      <c r="M255" s="62"/>
      <c r="N255" s="62"/>
      <c r="O255" s="65"/>
      <c r="P255" s="65"/>
      <c r="Q255" s="65"/>
      <c r="R255" s="65"/>
      <c r="S255" s="65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 t="s">
        <v>666</v>
      </c>
      <c r="AG255" s="66" t="s">
        <v>310</v>
      </c>
      <c r="AH255" s="66"/>
      <c r="AI255" s="66">
        <f>0+0</f>
        <v>0</v>
      </c>
    </row>
    <row r="256" spans="1:35" ht="136.80000000000001" x14ac:dyDescent="0.25">
      <c r="A256" s="58">
        <v>108</v>
      </c>
      <c r="B256" s="59" t="s">
        <v>555</v>
      </c>
      <c r="C256" s="60" t="str">
        <f t="shared" ca="1" si="7"/>
        <v xml:space="preserve">Ограждение кровель перилами (переходные мостики)
-----------------------------------------------------------------------
100 м ограждения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-----------------------------------------------------------------------278 руб. НР 92%=120%*(0.9*0.85) от ФОТ (302 руб.)
133 руб. СП 44%=65%*(0.85*0.8) от ФОТ (302 руб.)
</v>
      </c>
      <c r="D256" s="61">
        <v>0.26</v>
      </c>
      <c r="E256" s="62" t="s">
        <v>556</v>
      </c>
      <c r="F256" s="62" t="s">
        <v>557</v>
      </c>
      <c r="G256" s="62" t="s">
        <v>558</v>
      </c>
      <c r="H256" s="63" t="s">
        <v>559</v>
      </c>
      <c r="I256" s="64">
        <v>6197</v>
      </c>
      <c r="J256" s="62">
        <v>286</v>
      </c>
      <c r="K256" s="62" t="s">
        <v>667</v>
      </c>
      <c r="L256" s="62" t="str">
        <f>IF(0.26*3032.91=0," ",TEXT(,ROUND((0.26*3032.91*7.27),0)))</f>
        <v>5733</v>
      </c>
      <c r="M256" s="62" t="s">
        <v>561</v>
      </c>
      <c r="N256" s="62" t="s">
        <v>668</v>
      </c>
      <c r="O256" s="65"/>
      <c r="P256" s="65"/>
      <c r="Q256" s="65"/>
      <c r="R256" s="65"/>
      <c r="S256" s="65"/>
      <c r="T256" s="66"/>
      <c r="U256" s="66"/>
      <c r="V256" s="66"/>
      <c r="W256" s="66"/>
      <c r="X256" s="66"/>
      <c r="Y256" s="66"/>
      <c r="Z256" s="66"/>
      <c r="AA256" s="66" t="s">
        <v>258</v>
      </c>
      <c r="AB256" s="66" t="s">
        <v>174</v>
      </c>
      <c r="AC256" s="66">
        <v>278</v>
      </c>
      <c r="AD256" s="66">
        <v>133</v>
      </c>
      <c r="AE256" s="66" t="s">
        <v>233</v>
      </c>
      <c r="AF256" s="66" t="s">
        <v>669</v>
      </c>
      <c r="AG256" s="66" t="s">
        <v>564</v>
      </c>
      <c r="AH256" s="66"/>
      <c r="AI256" s="66">
        <f>286+16</f>
        <v>302</v>
      </c>
    </row>
    <row r="257" spans="1:35" ht="79.8" x14ac:dyDescent="0.25">
      <c r="A257" s="58">
        <v>109</v>
      </c>
      <c r="B257" s="59" t="s">
        <v>565</v>
      </c>
      <c r="C257" s="60" t="str">
        <f t="shared" ca="1" si="7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-----------------------------------------------------------------------
т
</v>
      </c>
      <c r="D257" s="61">
        <v>-7.8E-2</v>
      </c>
      <c r="E257" s="62">
        <v>10045</v>
      </c>
      <c r="F257" s="62"/>
      <c r="G257" s="62" t="s">
        <v>566</v>
      </c>
      <c r="H257" s="63" t="s">
        <v>567</v>
      </c>
      <c r="I257" s="64">
        <v>-5709</v>
      </c>
      <c r="J257" s="62"/>
      <c r="K257" s="62"/>
      <c r="L257" s="62" t="str">
        <f>IF(-0.078*10045=0," ",TEXT(,ROUND((-0.078*10045*7.282),0)))</f>
        <v>-5706</v>
      </c>
      <c r="M257" s="62"/>
      <c r="N257" s="62"/>
      <c r="O257" s="65"/>
      <c r="P257" s="65"/>
      <c r="Q257" s="65"/>
      <c r="R257" s="65"/>
      <c r="S257" s="65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 t="s">
        <v>568</v>
      </c>
      <c r="AG257" s="66" t="s">
        <v>354</v>
      </c>
      <c r="AH257" s="66"/>
      <c r="AI257" s="66">
        <f>0+0</f>
        <v>0</v>
      </c>
    </row>
    <row r="258" spans="1:35" ht="45.6" x14ac:dyDescent="0.25">
      <c r="A258" s="58">
        <v>110</v>
      </c>
      <c r="B258" s="59" t="s">
        <v>72</v>
      </c>
      <c r="C258" s="60" t="str">
        <f t="shared" ca="1" si="7"/>
        <v xml:space="preserve">Переходной мостик BORGE   2995/5,63=531,97
-----------------------------------------------------------------------
шт
</v>
      </c>
      <c r="D258" s="61">
        <v>17</v>
      </c>
      <c r="E258" s="62">
        <v>531.97</v>
      </c>
      <c r="F258" s="62"/>
      <c r="G258" s="62" t="s">
        <v>670</v>
      </c>
      <c r="H258" s="63" t="s">
        <v>284</v>
      </c>
      <c r="I258" s="64">
        <v>50912</v>
      </c>
      <c r="J258" s="62"/>
      <c r="K258" s="62"/>
      <c r="L258" s="62" t="str">
        <f>IF(17*531.97=0," ",TEXT(,ROUND((17*531.97*5.63),0)))</f>
        <v>50915</v>
      </c>
      <c r="M258" s="62"/>
      <c r="N258" s="62"/>
      <c r="O258" s="65"/>
      <c r="P258" s="65"/>
      <c r="Q258" s="65"/>
      <c r="R258" s="65"/>
      <c r="S258" s="65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 t="s">
        <v>671</v>
      </c>
      <c r="AG258" s="66" t="s">
        <v>495</v>
      </c>
      <c r="AH258" s="66"/>
      <c r="AI258" s="66">
        <f>0+0</f>
        <v>0</v>
      </c>
    </row>
    <row r="259" spans="1:35" ht="159.6" x14ac:dyDescent="0.25">
      <c r="A259" s="68">
        <v>111</v>
      </c>
      <c r="B259" s="69" t="s">
        <v>570</v>
      </c>
      <c r="C259" s="70" t="str">
        <f t="shared" ca="1" si="7"/>
        <v xml:space="preserve">Окраска металлических огрунтованных поверхностей: эмалью ПФ-115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ТЗ=1,15;
к=2  ОЗП=2; ЭМ=2; ЗПМ=2; МАТ=2)
-----------------------------------------------------------------------22 руб. НР 69%=90%*(0.9*0.85) от ФОТ (32 руб.)
15 руб. СП 48%=70%*(0.85*0.8) от ФОТ (32 руб.)
</v>
      </c>
      <c r="D259" s="71">
        <v>2.8000000000000001E-2</v>
      </c>
      <c r="E259" s="72" t="s">
        <v>513</v>
      </c>
      <c r="F259" s="72" t="s">
        <v>672</v>
      </c>
      <c r="G259" s="72" t="s">
        <v>515</v>
      </c>
      <c r="H259" s="73" t="s">
        <v>516</v>
      </c>
      <c r="I259" s="74">
        <v>129</v>
      </c>
      <c r="J259" s="72">
        <v>32</v>
      </c>
      <c r="K259" s="72"/>
      <c r="L259" s="72" t="str">
        <f>IF(0.028*562.56=0," ",TEXT(,ROUND((0.028*562.56*6.04),0)))</f>
        <v>95</v>
      </c>
      <c r="M259" s="72"/>
      <c r="N259" s="72"/>
      <c r="O259" s="65"/>
      <c r="P259" s="65"/>
      <c r="Q259" s="65"/>
      <c r="R259" s="65"/>
      <c r="S259" s="65"/>
      <c r="T259" s="66"/>
      <c r="U259" s="66"/>
      <c r="V259" s="66"/>
      <c r="W259" s="66"/>
      <c r="X259" s="66"/>
      <c r="Y259" s="66"/>
      <c r="Z259" s="66"/>
      <c r="AA259" s="66" t="s">
        <v>509</v>
      </c>
      <c r="AB259" s="66" t="s">
        <v>107</v>
      </c>
      <c r="AC259" s="66">
        <v>22</v>
      </c>
      <c r="AD259" s="66">
        <v>15</v>
      </c>
      <c r="AE259" s="79" t="s">
        <v>673</v>
      </c>
      <c r="AF259" s="66" t="s">
        <v>643</v>
      </c>
      <c r="AG259" s="66" t="s">
        <v>511</v>
      </c>
      <c r="AH259" s="66"/>
      <c r="AI259" s="66">
        <f>32+0</f>
        <v>32</v>
      </c>
    </row>
    <row r="260" spans="1:35" ht="34.200000000000003" x14ac:dyDescent="0.25">
      <c r="A260" s="90" t="s">
        <v>199</v>
      </c>
      <c r="B260" s="91"/>
      <c r="C260" s="91"/>
      <c r="D260" s="91"/>
      <c r="E260" s="91"/>
      <c r="F260" s="91"/>
      <c r="G260" s="91"/>
      <c r="H260" s="91"/>
      <c r="I260" s="64">
        <v>11801</v>
      </c>
      <c r="J260" s="62">
        <v>102</v>
      </c>
      <c r="K260" s="62" t="s">
        <v>674</v>
      </c>
      <c r="L260" s="62">
        <v>11479</v>
      </c>
      <c r="M260" s="62"/>
      <c r="N260" s="62" t="s">
        <v>675</v>
      </c>
      <c r="O260" s="9"/>
      <c r="P260" s="10"/>
      <c r="Q260" s="9"/>
      <c r="R260" s="9"/>
      <c r="S260" s="9"/>
    </row>
    <row r="261" spans="1:35" ht="34.200000000000003" x14ac:dyDescent="0.25">
      <c r="A261" s="90" t="s">
        <v>202</v>
      </c>
      <c r="B261" s="91"/>
      <c r="C261" s="91"/>
      <c r="D261" s="91"/>
      <c r="E261" s="91"/>
      <c r="F261" s="91"/>
      <c r="G261" s="91"/>
      <c r="H261" s="91"/>
      <c r="I261" s="64">
        <v>72335</v>
      </c>
      <c r="J261" s="62">
        <v>1622</v>
      </c>
      <c r="K261" s="62" t="s">
        <v>676</v>
      </c>
      <c r="L261" s="62">
        <v>68404</v>
      </c>
      <c r="M261" s="62"/>
      <c r="N261" s="62" t="s">
        <v>675</v>
      </c>
      <c r="O261" s="9"/>
      <c r="P261" s="10"/>
      <c r="Q261" s="9"/>
      <c r="R261" s="9"/>
      <c r="S261" s="9"/>
    </row>
    <row r="262" spans="1:35" x14ac:dyDescent="0.25">
      <c r="A262" s="90" t="s">
        <v>204</v>
      </c>
      <c r="B262" s="91"/>
      <c r="C262" s="91"/>
      <c r="D262" s="91"/>
      <c r="E262" s="91"/>
      <c r="F262" s="91"/>
      <c r="G262" s="91"/>
      <c r="H262" s="91"/>
      <c r="I262" s="64">
        <v>1441</v>
      </c>
      <c r="J262" s="62"/>
      <c r="K262" s="62"/>
      <c r="L262" s="62"/>
      <c r="M262" s="62"/>
      <c r="N262" s="62"/>
      <c r="O262" s="9"/>
      <c r="P262" s="10"/>
      <c r="Q262" s="9"/>
      <c r="R262" s="9"/>
      <c r="S262" s="9"/>
    </row>
    <row r="263" spans="1:35" x14ac:dyDescent="0.25">
      <c r="A263" s="90" t="s">
        <v>205</v>
      </c>
      <c r="B263" s="91"/>
      <c r="C263" s="91"/>
      <c r="D263" s="91"/>
      <c r="E263" s="91"/>
      <c r="F263" s="91"/>
      <c r="G263" s="91"/>
      <c r="H263" s="91"/>
      <c r="I263" s="64">
        <v>1107</v>
      </c>
      <c r="J263" s="62"/>
      <c r="K263" s="62"/>
      <c r="L263" s="62"/>
      <c r="M263" s="62"/>
      <c r="N263" s="62"/>
      <c r="O263" s="9"/>
      <c r="P263" s="10"/>
      <c r="Q263" s="9"/>
      <c r="R263" s="9"/>
      <c r="S263" s="9"/>
    </row>
    <row r="264" spans="1:35" x14ac:dyDescent="0.25">
      <c r="A264" s="93" t="s">
        <v>677</v>
      </c>
      <c r="B264" s="94"/>
      <c r="C264" s="94"/>
      <c r="D264" s="94"/>
      <c r="E264" s="94"/>
      <c r="F264" s="94"/>
      <c r="G264" s="94"/>
      <c r="H264" s="94"/>
      <c r="I264" s="75"/>
      <c r="J264" s="76"/>
      <c r="K264" s="76"/>
      <c r="L264" s="76"/>
      <c r="M264" s="76"/>
      <c r="N264" s="76"/>
      <c r="O264" s="9"/>
      <c r="P264" s="10"/>
      <c r="Q264" s="9"/>
      <c r="R264" s="9"/>
      <c r="S264" s="9"/>
    </row>
    <row r="265" spans="1:35" ht="34.200000000000003" x14ac:dyDescent="0.25">
      <c r="A265" s="90" t="s">
        <v>678</v>
      </c>
      <c r="B265" s="91"/>
      <c r="C265" s="91"/>
      <c r="D265" s="91"/>
      <c r="E265" s="91"/>
      <c r="F265" s="91"/>
      <c r="G265" s="91"/>
      <c r="H265" s="91"/>
      <c r="I265" s="64">
        <v>73818</v>
      </c>
      <c r="J265" s="62"/>
      <c r="K265" s="62"/>
      <c r="L265" s="62"/>
      <c r="M265" s="62"/>
      <c r="N265" s="62" t="s">
        <v>679</v>
      </c>
      <c r="O265" s="9"/>
      <c r="P265" s="10"/>
      <c r="Q265" s="9"/>
      <c r="R265" s="9"/>
      <c r="S265" s="9"/>
    </row>
    <row r="266" spans="1:35" ht="34.200000000000003" x14ac:dyDescent="0.25">
      <c r="A266" s="90" t="s">
        <v>407</v>
      </c>
      <c r="B266" s="91"/>
      <c r="C266" s="91"/>
      <c r="D266" s="91"/>
      <c r="E266" s="91"/>
      <c r="F266" s="91"/>
      <c r="G266" s="91"/>
      <c r="H266" s="91"/>
      <c r="I266" s="64">
        <v>899</v>
      </c>
      <c r="J266" s="62"/>
      <c r="K266" s="62"/>
      <c r="L266" s="62"/>
      <c r="M266" s="62"/>
      <c r="N266" s="62" t="s">
        <v>680</v>
      </c>
      <c r="O266" s="9"/>
      <c r="P266" s="10"/>
      <c r="Q266" s="9"/>
      <c r="R266" s="9"/>
      <c r="S266" s="9"/>
    </row>
    <row r="267" spans="1:35" x14ac:dyDescent="0.25">
      <c r="A267" s="90" t="s">
        <v>528</v>
      </c>
      <c r="B267" s="91"/>
      <c r="C267" s="91"/>
      <c r="D267" s="91"/>
      <c r="E267" s="91"/>
      <c r="F267" s="91"/>
      <c r="G267" s="91"/>
      <c r="H267" s="91"/>
      <c r="I267" s="64">
        <v>166</v>
      </c>
      <c r="J267" s="62"/>
      <c r="K267" s="62"/>
      <c r="L267" s="62"/>
      <c r="M267" s="62"/>
      <c r="N267" s="62"/>
      <c r="O267" s="9"/>
      <c r="P267" s="10"/>
      <c r="Q267" s="9"/>
      <c r="R267" s="9"/>
      <c r="S267" s="9"/>
    </row>
    <row r="268" spans="1:35" ht="34.200000000000003" x14ac:dyDescent="0.25">
      <c r="A268" s="90" t="s">
        <v>217</v>
      </c>
      <c r="B268" s="91"/>
      <c r="C268" s="91"/>
      <c r="D268" s="91"/>
      <c r="E268" s="91"/>
      <c r="F268" s="91"/>
      <c r="G268" s="91"/>
      <c r="H268" s="91"/>
      <c r="I268" s="64">
        <v>74883</v>
      </c>
      <c r="J268" s="62"/>
      <c r="K268" s="62"/>
      <c r="L268" s="62"/>
      <c r="M268" s="62"/>
      <c r="N268" s="62" t="s">
        <v>675</v>
      </c>
      <c r="O268" s="9"/>
      <c r="P268" s="10"/>
      <c r="Q268" s="9"/>
      <c r="R268" s="9"/>
      <c r="S268" s="9"/>
    </row>
    <row r="269" spans="1:35" x14ac:dyDescent="0.25">
      <c r="A269" s="90" t="s">
        <v>218</v>
      </c>
      <c r="B269" s="91"/>
      <c r="C269" s="91"/>
      <c r="D269" s="91"/>
      <c r="E269" s="91"/>
      <c r="F269" s="91"/>
      <c r="G269" s="91"/>
      <c r="H269" s="91"/>
      <c r="I269" s="64"/>
      <c r="J269" s="62"/>
      <c r="K269" s="62"/>
      <c r="L269" s="62"/>
      <c r="M269" s="62"/>
      <c r="N269" s="62"/>
      <c r="O269" s="9"/>
      <c r="P269" s="10"/>
      <c r="Q269" s="9"/>
      <c r="R269" s="9"/>
      <c r="S269" s="9"/>
    </row>
    <row r="270" spans="1:35" x14ac:dyDescent="0.25">
      <c r="A270" s="90" t="s">
        <v>412</v>
      </c>
      <c r="B270" s="91"/>
      <c r="C270" s="91"/>
      <c r="D270" s="91"/>
      <c r="E270" s="91"/>
      <c r="F270" s="91"/>
      <c r="G270" s="91"/>
      <c r="H270" s="91"/>
      <c r="I270" s="64">
        <v>68404</v>
      </c>
      <c r="J270" s="62"/>
      <c r="K270" s="62"/>
      <c r="L270" s="62"/>
      <c r="M270" s="62"/>
      <c r="N270" s="62"/>
      <c r="O270" s="9"/>
      <c r="P270" s="10"/>
      <c r="Q270" s="9"/>
      <c r="R270" s="9"/>
      <c r="S270" s="9"/>
    </row>
    <row r="271" spans="1:35" x14ac:dyDescent="0.25">
      <c r="A271" s="90" t="s">
        <v>219</v>
      </c>
      <c r="B271" s="91"/>
      <c r="C271" s="91"/>
      <c r="D271" s="91"/>
      <c r="E271" s="91"/>
      <c r="F271" s="91"/>
      <c r="G271" s="91"/>
      <c r="H271" s="91"/>
      <c r="I271" s="64">
        <v>2309</v>
      </c>
      <c r="J271" s="62"/>
      <c r="K271" s="62"/>
      <c r="L271" s="62"/>
      <c r="M271" s="62"/>
      <c r="N271" s="62"/>
      <c r="O271" s="9"/>
      <c r="P271" s="10"/>
      <c r="Q271" s="9"/>
      <c r="R271" s="9"/>
      <c r="S271" s="9"/>
    </row>
    <row r="272" spans="1:35" x14ac:dyDescent="0.25">
      <c r="A272" s="90" t="s">
        <v>220</v>
      </c>
      <c r="B272" s="91"/>
      <c r="C272" s="91"/>
      <c r="D272" s="91"/>
      <c r="E272" s="91"/>
      <c r="F272" s="91"/>
      <c r="G272" s="91"/>
      <c r="H272" s="91"/>
      <c r="I272" s="64">
        <v>1988</v>
      </c>
      <c r="J272" s="62"/>
      <c r="K272" s="62"/>
      <c r="L272" s="62"/>
      <c r="M272" s="62"/>
      <c r="N272" s="62"/>
      <c r="O272" s="9"/>
      <c r="P272" s="10"/>
      <c r="Q272" s="9"/>
      <c r="R272" s="9"/>
      <c r="S272" s="9"/>
    </row>
    <row r="273" spans="1:35" x14ac:dyDescent="0.25">
      <c r="A273" s="90" t="s">
        <v>221</v>
      </c>
      <c r="B273" s="91"/>
      <c r="C273" s="91"/>
      <c r="D273" s="91"/>
      <c r="E273" s="91"/>
      <c r="F273" s="91"/>
      <c r="G273" s="91"/>
      <c r="H273" s="91"/>
      <c r="I273" s="64">
        <v>1441</v>
      </c>
      <c r="J273" s="62"/>
      <c r="K273" s="62"/>
      <c r="L273" s="62"/>
      <c r="M273" s="62"/>
      <c r="N273" s="62"/>
      <c r="O273" s="9"/>
      <c r="P273" s="10"/>
      <c r="Q273" s="9"/>
      <c r="R273" s="9"/>
      <c r="S273" s="9"/>
    </row>
    <row r="274" spans="1:35" x14ac:dyDescent="0.25">
      <c r="A274" s="90" t="s">
        <v>222</v>
      </c>
      <c r="B274" s="91"/>
      <c r="C274" s="91"/>
      <c r="D274" s="91"/>
      <c r="E274" s="91"/>
      <c r="F274" s="91"/>
      <c r="G274" s="91"/>
      <c r="H274" s="91"/>
      <c r="I274" s="64">
        <v>1107</v>
      </c>
      <c r="J274" s="62"/>
      <c r="K274" s="62"/>
      <c r="L274" s="62"/>
      <c r="M274" s="62"/>
      <c r="N274" s="62"/>
      <c r="O274" s="9"/>
      <c r="P274" s="10"/>
      <c r="Q274" s="9"/>
      <c r="R274" s="9"/>
      <c r="S274" s="9"/>
    </row>
    <row r="275" spans="1:35" ht="34.200000000000003" x14ac:dyDescent="0.25">
      <c r="A275" s="111" t="s">
        <v>681</v>
      </c>
      <c r="B275" s="112"/>
      <c r="C275" s="112"/>
      <c r="D275" s="112"/>
      <c r="E275" s="112"/>
      <c r="F275" s="112"/>
      <c r="G275" s="112"/>
      <c r="H275" s="112"/>
      <c r="I275" s="77">
        <v>74883</v>
      </c>
      <c r="J275" s="78"/>
      <c r="K275" s="78"/>
      <c r="L275" s="78"/>
      <c r="M275" s="78"/>
      <c r="N275" s="78" t="s">
        <v>675</v>
      </c>
      <c r="O275" s="9"/>
      <c r="P275" s="10"/>
      <c r="Q275" s="9"/>
      <c r="R275" s="9"/>
      <c r="S275" s="9"/>
    </row>
    <row r="276" spans="1:35" ht="18.45" customHeight="1" x14ac:dyDescent="0.25">
      <c r="A276" s="93" t="s">
        <v>682</v>
      </c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</row>
    <row r="277" spans="1:35" ht="148.19999999999999" x14ac:dyDescent="0.25">
      <c r="A277" s="58">
        <v>112</v>
      </c>
      <c r="B277" s="59" t="s">
        <v>683</v>
      </c>
      <c r="C277" s="60" t="str">
        <f t="shared" ref="C277:C286" ca="1" si="8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Прокладка по стенам зданий и в каналах трубопроводов из чугунных канализационных труб диаметром: 100 мм
-----------------------------------------------------------------------
100 м трубопровода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-----------------------------------------------------------------------2431 руб. НР 98%=128%*(0.9*0.85) от ФОТ (2481 руб.)
1389 руб. СП 56%=83%*(0.85*0.8) от ФОТ (2481 руб.)
</v>
      </c>
      <c r="D277" s="61">
        <v>0.16400000000000001</v>
      </c>
      <c r="E277" s="62" t="s">
        <v>684</v>
      </c>
      <c r="F277" s="62" t="s">
        <v>685</v>
      </c>
      <c r="G277" s="62" t="s">
        <v>686</v>
      </c>
      <c r="H277" s="63" t="s">
        <v>687</v>
      </c>
      <c r="I277" s="64">
        <v>13610</v>
      </c>
      <c r="J277" s="62">
        <v>2465</v>
      </c>
      <c r="K277" s="62" t="s">
        <v>688</v>
      </c>
      <c r="L277" s="62" t="str">
        <f>IF(0.164*11830.25=0," ",TEXT(,ROUND((0.164*11830.25*5.6),0)))</f>
        <v>10865</v>
      </c>
      <c r="M277" s="62" t="s">
        <v>689</v>
      </c>
      <c r="N277" s="62" t="s">
        <v>690</v>
      </c>
      <c r="O277" s="65"/>
      <c r="P277" s="65"/>
      <c r="Q277" s="65"/>
      <c r="R277" s="65"/>
      <c r="S277" s="65"/>
      <c r="T277" s="66"/>
      <c r="U277" s="66"/>
      <c r="V277" s="66"/>
      <c r="W277" s="66"/>
      <c r="X277" s="66"/>
      <c r="Y277" s="66"/>
      <c r="Z277" s="66"/>
      <c r="AA277" s="66" t="s">
        <v>691</v>
      </c>
      <c r="AB277" s="66" t="s">
        <v>692</v>
      </c>
      <c r="AC277" s="66">
        <v>2431</v>
      </c>
      <c r="AD277" s="66">
        <v>1389</v>
      </c>
      <c r="AE277" s="66" t="s">
        <v>233</v>
      </c>
      <c r="AF277" s="66" t="s">
        <v>693</v>
      </c>
      <c r="AG277" s="66" t="s">
        <v>694</v>
      </c>
      <c r="AH277" s="66"/>
      <c r="AI277" s="66">
        <f>2465+16</f>
        <v>2481</v>
      </c>
    </row>
    <row r="278" spans="1:35" ht="159.6" x14ac:dyDescent="0.25">
      <c r="A278" s="58">
        <v>113</v>
      </c>
      <c r="B278" s="59" t="s">
        <v>695</v>
      </c>
      <c r="C278" s="60" t="str">
        <f t="shared" ca="1" si="8"/>
        <v xml:space="preserve">Изоляция поверхностей трубопроводов штучными изделиями из пенополиуретана (полуцилиндрами и сегментами)
-----------------------------------------------------------------------
1 м3 изоляции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-----------------------------------------------------------------------1481 руб. НР 77%=100%*(0.9*0.85) от ФОТ (1924 руб.)
924 руб. СП 48%=70%*(0.85*0.8) от ФОТ (1924 руб.)
</v>
      </c>
      <c r="D278" s="61">
        <v>0.438</v>
      </c>
      <c r="E278" s="62" t="s">
        <v>696</v>
      </c>
      <c r="F278" s="62">
        <v>45.18</v>
      </c>
      <c r="G278" s="62" t="s">
        <v>697</v>
      </c>
      <c r="H278" s="63" t="s">
        <v>698</v>
      </c>
      <c r="I278" s="64">
        <v>12915</v>
      </c>
      <c r="J278" s="62">
        <v>1924</v>
      </c>
      <c r="K278" s="62">
        <v>229</v>
      </c>
      <c r="L278" s="62" t="str">
        <f>IF(0.438*2505.89=0," ",TEXT(,ROUND((0.438*2505.89*9.81),0)))</f>
        <v>10767</v>
      </c>
      <c r="M278" s="62">
        <v>31.901</v>
      </c>
      <c r="N278" s="62">
        <v>13.97</v>
      </c>
      <c r="O278" s="65"/>
      <c r="P278" s="65"/>
      <c r="Q278" s="65"/>
      <c r="R278" s="65"/>
      <c r="S278" s="65"/>
      <c r="T278" s="66"/>
      <c r="U278" s="66"/>
      <c r="V278" s="66"/>
      <c r="W278" s="66"/>
      <c r="X278" s="66"/>
      <c r="Y278" s="66"/>
      <c r="Z278" s="66"/>
      <c r="AA278" s="66" t="s">
        <v>173</v>
      </c>
      <c r="AB278" s="66" t="s">
        <v>107</v>
      </c>
      <c r="AC278" s="66">
        <v>1481</v>
      </c>
      <c r="AD278" s="66">
        <v>924</v>
      </c>
      <c r="AE278" s="66" t="s">
        <v>233</v>
      </c>
      <c r="AF278" s="66" t="s">
        <v>699</v>
      </c>
      <c r="AG278" s="66" t="s">
        <v>700</v>
      </c>
      <c r="AH278" s="66"/>
      <c r="AI278" s="66">
        <f>1924+0</f>
        <v>1924</v>
      </c>
    </row>
    <row r="279" spans="1:35" ht="68.400000000000006" x14ac:dyDescent="0.25">
      <c r="A279" s="58">
        <v>114</v>
      </c>
      <c r="B279" s="59" t="s">
        <v>701</v>
      </c>
      <c r="C279" s="60" t="str">
        <f t="shared" ca="1" si="8"/>
        <v xml:space="preserve">Полуцилиндры (скорлупы) теплоизоляционные из пенополиуретана ППУ-17Н с внутренним диаметром 108-159 мм
-----------------------------------------------------------------------
м3
</v>
      </c>
      <c r="D279" s="61">
        <v>-0.48180000000000001</v>
      </c>
      <c r="E279" s="62">
        <v>1850</v>
      </c>
      <c r="F279" s="62"/>
      <c r="G279" s="62" t="s">
        <v>702</v>
      </c>
      <c r="H279" s="63" t="s">
        <v>703</v>
      </c>
      <c r="I279" s="64">
        <v>-9988</v>
      </c>
      <c r="J279" s="62"/>
      <c r="K279" s="62"/>
      <c r="L279" s="62" t="str">
        <f>IF(-0.4818*1850=0," ",TEXT(,ROUND((-0.4818*1850*11.21),0)))</f>
        <v>-9992</v>
      </c>
      <c r="M279" s="62"/>
      <c r="N279" s="62"/>
      <c r="O279" s="65"/>
      <c r="P279" s="65"/>
      <c r="Q279" s="65"/>
      <c r="R279" s="65"/>
      <c r="S279" s="65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 t="s">
        <v>704</v>
      </c>
      <c r="AG279" s="66" t="s">
        <v>286</v>
      </c>
      <c r="AH279" s="66"/>
      <c r="AI279" s="66">
        <f t="shared" ref="AI279:AI284" si="9">0+0</f>
        <v>0</v>
      </c>
    </row>
    <row r="280" spans="1:35" ht="52.8" x14ac:dyDescent="0.25">
      <c r="A280" s="58">
        <v>115</v>
      </c>
      <c r="B280" s="59" t="s">
        <v>705</v>
      </c>
      <c r="C280" s="60" t="str">
        <f t="shared" ca="1" si="8"/>
        <v xml:space="preserve">Клей резиновый № 88-Н
-----------------------------------------------------------------------
кг
</v>
      </c>
      <c r="D280" s="61">
        <v>-3.9860000000000002</v>
      </c>
      <c r="E280" s="62">
        <v>45</v>
      </c>
      <c r="F280" s="62"/>
      <c r="G280" s="62" t="s">
        <v>706</v>
      </c>
      <c r="H280" s="63" t="s">
        <v>707</v>
      </c>
      <c r="I280" s="64">
        <v>-673</v>
      </c>
      <c r="J280" s="62"/>
      <c r="K280" s="62"/>
      <c r="L280" s="62" t="str">
        <f>IF(-3.986*45=0," ",TEXT(,ROUND((-3.986*45*3.757),0)))</f>
        <v>-674</v>
      </c>
      <c r="M280" s="62"/>
      <c r="N280" s="62"/>
      <c r="O280" s="65"/>
      <c r="P280" s="65"/>
      <c r="Q280" s="65"/>
      <c r="R280" s="65"/>
      <c r="S280" s="65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 t="s">
        <v>708</v>
      </c>
      <c r="AG280" s="66" t="s">
        <v>310</v>
      </c>
      <c r="AH280" s="66"/>
      <c r="AI280" s="66">
        <f t="shared" si="9"/>
        <v>0</v>
      </c>
    </row>
    <row r="281" spans="1:35" ht="52.8" x14ac:dyDescent="0.25">
      <c r="A281" s="58">
        <v>116</v>
      </c>
      <c r="B281" s="59" t="s">
        <v>709</v>
      </c>
      <c r="C281" s="60" t="str">
        <f t="shared" ca="1" si="8"/>
        <v xml:space="preserve">Листы алюминиевые марки АД1Н, толщиной 1 мм
-----------------------------------------------------------------------
кг
</v>
      </c>
      <c r="D281" s="61">
        <v>-8.4500000000000006E-2</v>
      </c>
      <c r="E281" s="62">
        <v>52.86</v>
      </c>
      <c r="F281" s="62"/>
      <c r="G281" s="62" t="s">
        <v>710</v>
      </c>
      <c r="H281" s="63" t="s">
        <v>711</v>
      </c>
      <c r="I281" s="64">
        <v>-20</v>
      </c>
      <c r="J281" s="62"/>
      <c r="K281" s="62"/>
      <c r="L281" s="62" t="str">
        <f>IF(-0.0845*52.86=0," ",TEXT(,ROUND((-0.0845*52.86*4.946),0)))</f>
        <v>-22</v>
      </c>
      <c r="M281" s="62"/>
      <c r="N281" s="62"/>
      <c r="O281" s="65"/>
      <c r="P281" s="65"/>
      <c r="Q281" s="65"/>
      <c r="R281" s="65"/>
      <c r="S281" s="65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 t="s">
        <v>712</v>
      </c>
      <c r="AG281" s="66" t="s">
        <v>310</v>
      </c>
      <c r="AH281" s="66"/>
      <c r="AI281" s="66">
        <f t="shared" si="9"/>
        <v>0</v>
      </c>
    </row>
    <row r="282" spans="1:35" ht="52.8" x14ac:dyDescent="0.25">
      <c r="A282" s="58">
        <v>117</v>
      </c>
      <c r="B282" s="59" t="s">
        <v>713</v>
      </c>
      <c r="C282" s="60" t="str">
        <f t="shared" ca="1" si="8"/>
        <v xml:space="preserve">Сталь листовая оцинкованная толщиной листа 0,8 мм
-----------------------------------------------------------------------
т
</v>
      </c>
      <c r="D282" s="61">
        <v>-5.9999999999999995E-4</v>
      </c>
      <c r="E282" s="62">
        <v>11000</v>
      </c>
      <c r="F282" s="62"/>
      <c r="G282" s="62" t="s">
        <v>714</v>
      </c>
      <c r="H282" s="63" t="s">
        <v>715</v>
      </c>
      <c r="I282" s="64">
        <v>-24</v>
      </c>
      <c r="J282" s="62"/>
      <c r="K282" s="62"/>
      <c r="L282" s="62" t="str">
        <f>IF(-0.0006*11000=0," ",TEXT(,ROUND((-0.0006*11000*3.367),0)))</f>
        <v>-22</v>
      </c>
      <c r="M282" s="62"/>
      <c r="N282" s="62"/>
      <c r="O282" s="65"/>
      <c r="P282" s="65"/>
      <c r="Q282" s="65"/>
      <c r="R282" s="65"/>
      <c r="S282" s="65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 t="s">
        <v>716</v>
      </c>
      <c r="AG282" s="66" t="s">
        <v>354</v>
      </c>
      <c r="AH282" s="66"/>
      <c r="AI282" s="66">
        <f t="shared" si="9"/>
        <v>0</v>
      </c>
    </row>
    <row r="283" spans="1:35" ht="57" x14ac:dyDescent="0.25">
      <c r="A283" s="58">
        <v>118</v>
      </c>
      <c r="B283" s="59" t="s">
        <v>70</v>
      </c>
      <c r="C283" s="60" t="str">
        <f t="shared" ca="1" si="8"/>
        <v xml:space="preserve">Скорлупа ППУ с оцинк.кожухом диам.114мм, толщ.50мм  443/5,63=78,69
-----------------------------------------------------------------------
м
</v>
      </c>
      <c r="D283" s="61">
        <v>16.399999999999999</v>
      </c>
      <c r="E283" s="62">
        <v>78.69</v>
      </c>
      <c r="F283" s="62"/>
      <c r="G283" s="62" t="s">
        <v>717</v>
      </c>
      <c r="H283" s="63" t="s">
        <v>284</v>
      </c>
      <c r="I283" s="64">
        <v>7268</v>
      </c>
      <c r="J283" s="62"/>
      <c r="K283" s="62"/>
      <c r="L283" s="62" t="str">
        <f>IF(16.4*78.69=0," ",TEXT(,ROUND((16.4*78.69*5.63),0)))</f>
        <v>7266</v>
      </c>
      <c r="M283" s="62"/>
      <c r="N283" s="62"/>
      <c r="O283" s="65"/>
      <c r="P283" s="65"/>
      <c r="Q283" s="65"/>
      <c r="R283" s="65"/>
      <c r="S283" s="65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 t="s">
        <v>718</v>
      </c>
      <c r="AG283" s="66" t="s">
        <v>483</v>
      </c>
      <c r="AH283" s="66"/>
      <c r="AI283" s="66">
        <f t="shared" si="9"/>
        <v>0</v>
      </c>
    </row>
    <row r="284" spans="1:35" ht="57" x14ac:dyDescent="0.25">
      <c r="A284" s="58">
        <v>119</v>
      </c>
      <c r="B284" s="59" t="s">
        <v>71</v>
      </c>
      <c r="C284" s="60" t="str">
        <f t="shared" ca="1" si="8"/>
        <v xml:space="preserve">Монжета переходная-сталь 0,55 100ммх750мм/болт М8 420/5,63/1,18=63,22
-----------------------------------------------------------------------
шт
</v>
      </c>
      <c r="D284" s="61">
        <v>4</v>
      </c>
      <c r="E284" s="62">
        <v>63.22</v>
      </c>
      <c r="F284" s="62"/>
      <c r="G284" s="62" t="s">
        <v>719</v>
      </c>
      <c r="H284" s="63" t="s">
        <v>284</v>
      </c>
      <c r="I284" s="64">
        <v>1424</v>
      </c>
      <c r="J284" s="62"/>
      <c r="K284" s="62"/>
      <c r="L284" s="62" t="str">
        <f>IF(4*63.22=0," ",TEXT(,ROUND((4*63.22*5.63),0)))</f>
        <v>1424</v>
      </c>
      <c r="M284" s="62"/>
      <c r="N284" s="62"/>
      <c r="O284" s="65"/>
      <c r="P284" s="65"/>
      <c r="Q284" s="65"/>
      <c r="R284" s="65"/>
      <c r="S284" s="65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 t="s">
        <v>720</v>
      </c>
      <c r="AG284" s="66" t="s">
        <v>495</v>
      </c>
      <c r="AH284" s="66"/>
      <c r="AI284" s="66">
        <f t="shared" si="9"/>
        <v>0</v>
      </c>
    </row>
    <row r="285" spans="1:35" ht="148.19999999999999" x14ac:dyDescent="0.25">
      <c r="A285" s="58">
        <v>120</v>
      </c>
      <c r="B285" s="59" t="s">
        <v>721</v>
      </c>
      <c r="C285" s="60" t="str">
        <f t="shared" ca="1" si="8"/>
        <v xml:space="preserve">Установка зонтов над шахтами из листовой стали круглого сечения диаметром: 400 мм
-----------------------------------------------------------------------
1 зонт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-----------------------------------------------------------------------483 руб. НР 98%=128%*(0.9*0.85) от ФОТ (493 руб.)
276 руб. СП 56%=83%*(0.85*0.8) от ФОТ (493 руб.)
</v>
      </c>
      <c r="D285" s="61">
        <v>4</v>
      </c>
      <c r="E285" s="62" t="s">
        <v>722</v>
      </c>
      <c r="F285" s="62">
        <v>2.35</v>
      </c>
      <c r="G285" s="62" t="s">
        <v>723</v>
      </c>
      <c r="H285" s="63" t="s">
        <v>724</v>
      </c>
      <c r="I285" s="64">
        <v>646</v>
      </c>
      <c r="J285" s="62">
        <v>493</v>
      </c>
      <c r="K285" s="62">
        <v>68</v>
      </c>
      <c r="L285" s="62" t="str">
        <f>IF(4*3.06=0," ",TEXT(,ROUND((4*3.06*6.54),0)))</f>
        <v>80</v>
      </c>
      <c r="M285" s="62">
        <v>0.85099999999999998</v>
      </c>
      <c r="N285" s="62">
        <v>3.4</v>
      </c>
      <c r="O285" s="65"/>
      <c r="P285" s="65"/>
      <c r="Q285" s="65"/>
      <c r="R285" s="65"/>
      <c r="S285" s="65"/>
      <c r="T285" s="66"/>
      <c r="U285" s="66"/>
      <c r="V285" s="66"/>
      <c r="W285" s="66"/>
      <c r="X285" s="66"/>
      <c r="Y285" s="66"/>
      <c r="Z285" s="66"/>
      <c r="AA285" s="66" t="s">
        <v>691</v>
      </c>
      <c r="AB285" s="66" t="s">
        <v>692</v>
      </c>
      <c r="AC285" s="66">
        <v>483</v>
      </c>
      <c r="AD285" s="66">
        <v>276</v>
      </c>
      <c r="AE285" s="66" t="s">
        <v>233</v>
      </c>
      <c r="AF285" s="66" t="s">
        <v>725</v>
      </c>
      <c r="AG285" s="66" t="s">
        <v>726</v>
      </c>
      <c r="AH285" s="66"/>
      <c r="AI285" s="66">
        <f>493+0</f>
        <v>493</v>
      </c>
    </row>
    <row r="286" spans="1:35" ht="57" x14ac:dyDescent="0.25">
      <c r="A286" s="68">
        <v>121</v>
      </c>
      <c r="B286" s="69" t="s">
        <v>727</v>
      </c>
      <c r="C286" s="70" t="str">
        <f t="shared" ca="1" si="8"/>
        <v xml:space="preserve">Зонты вентиляционных систем из листовой оцинкованной стали, круглые, диаметром шахты 400 мм
-----------------------------------------------------------------------
шт.
</v>
      </c>
      <c r="D286" s="71">
        <v>4</v>
      </c>
      <c r="E286" s="72">
        <v>169.7</v>
      </c>
      <c r="F286" s="72"/>
      <c r="G286" s="72" t="s">
        <v>728</v>
      </c>
      <c r="H286" s="73" t="s">
        <v>729</v>
      </c>
      <c r="I286" s="74">
        <v>2286</v>
      </c>
      <c r="J286" s="72"/>
      <c r="K286" s="72"/>
      <c r="L286" s="72" t="str">
        <f>IF(4*169.7=0," ",TEXT(,ROUND((4*169.7*3.366),0)))</f>
        <v>2285</v>
      </c>
      <c r="M286" s="72"/>
      <c r="N286" s="72"/>
      <c r="O286" s="65"/>
      <c r="P286" s="65"/>
      <c r="Q286" s="65"/>
      <c r="R286" s="65"/>
      <c r="S286" s="65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 t="s">
        <v>730</v>
      </c>
      <c r="AG286" s="66" t="s">
        <v>324</v>
      </c>
      <c r="AH286" s="66"/>
      <c r="AI286" s="66">
        <f>0+0</f>
        <v>0</v>
      </c>
    </row>
    <row r="287" spans="1:35" ht="34.200000000000003" x14ac:dyDescent="0.25">
      <c r="A287" s="90" t="s">
        <v>199</v>
      </c>
      <c r="B287" s="91"/>
      <c r="C287" s="91"/>
      <c r="D287" s="91"/>
      <c r="E287" s="91"/>
      <c r="F287" s="91"/>
      <c r="G287" s="91"/>
      <c r="H287" s="91"/>
      <c r="I287" s="64">
        <v>4552</v>
      </c>
      <c r="J287" s="62">
        <v>307</v>
      </c>
      <c r="K287" s="62" t="s">
        <v>731</v>
      </c>
      <c r="L287" s="62">
        <v>4192</v>
      </c>
      <c r="M287" s="62"/>
      <c r="N287" s="62" t="s">
        <v>732</v>
      </c>
      <c r="O287" s="9"/>
      <c r="P287" s="10"/>
      <c r="Q287" s="9"/>
      <c r="R287" s="9"/>
      <c r="S287" s="9"/>
    </row>
    <row r="288" spans="1:35" ht="34.200000000000003" x14ac:dyDescent="0.25">
      <c r="A288" s="90" t="s">
        <v>202</v>
      </c>
      <c r="B288" s="91"/>
      <c r="C288" s="91"/>
      <c r="D288" s="91"/>
      <c r="E288" s="91"/>
      <c r="F288" s="91"/>
      <c r="G288" s="91"/>
      <c r="H288" s="91"/>
      <c r="I288" s="64">
        <v>27445</v>
      </c>
      <c r="J288" s="62">
        <v>4882</v>
      </c>
      <c r="K288" s="62" t="s">
        <v>733</v>
      </c>
      <c r="L288" s="62">
        <v>21985</v>
      </c>
      <c r="M288" s="62"/>
      <c r="N288" s="62" t="s">
        <v>732</v>
      </c>
      <c r="O288" s="9"/>
      <c r="P288" s="10"/>
      <c r="Q288" s="9"/>
      <c r="R288" s="9"/>
      <c r="S288" s="9"/>
    </row>
    <row r="289" spans="1:35" x14ac:dyDescent="0.25">
      <c r="A289" s="90" t="s">
        <v>204</v>
      </c>
      <c r="B289" s="91"/>
      <c r="C289" s="91"/>
      <c r="D289" s="91"/>
      <c r="E289" s="91"/>
      <c r="F289" s="91"/>
      <c r="G289" s="91"/>
      <c r="H289" s="91"/>
      <c r="I289" s="64">
        <v>4396</v>
      </c>
      <c r="J289" s="62"/>
      <c r="K289" s="62"/>
      <c r="L289" s="62"/>
      <c r="M289" s="62"/>
      <c r="N289" s="62"/>
      <c r="O289" s="9"/>
      <c r="P289" s="10"/>
      <c r="Q289" s="9"/>
      <c r="R289" s="9"/>
      <c r="S289" s="9"/>
    </row>
    <row r="290" spans="1:35" x14ac:dyDescent="0.25">
      <c r="A290" s="90" t="s">
        <v>205</v>
      </c>
      <c r="B290" s="91"/>
      <c r="C290" s="91"/>
      <c r="D290" s="91"/>
      <c r="E290" s="91"/>
      <c r="F290" s="91"/>
      <c r="G290" s="91"/>
      <c r="H290" s="91"/>
      <c r="I290" s="64">
        <v>2589</v>
      </c>
      <c r="J290" s="62"/>
      <c r="K290" s="62"/>
      <c r="L290" s="62"/>
      <c r="M290" s="62"/>
      <c r="N290" s="62"/>
      <c r="O290" s="9"/>
      <c r="P290" s="10"/>
      <c r="Q290" s="9"/>
      <c r="R290" s="9"/>
      <c r="S290" s="9"/>
    </row>
    <row r="291" spans="1:35" x14ac:dyDescent="0.25">
      <c r="A291" s="93" t="s">
        <v>734</v>
      </c>
      <c r="B291" s="94"/>
      <c r="C291" s="94"/>
      <c r="D291" s="94"/>
      <c r="E291" s="94"/>
      <c r="F291" s="94"/>
      <c r="G291" s="94"/>
      <c r="H291" s="94"/>
      <c r="I291" s="75"/>
      <c r="J291" s="76"/>
      <c r="K291" s="76"/>
      <c r="L291" s="76"/>
      <c r="M291" s="76"/>
      <c r="N291" s="76"/>
      <c r="O291" s="9"/>
      <c r="P291" s="10"/>
      <c r="Q291" s="9"/>
      <c r="R291" s="9"/>
      <c r="S291" s="9"/>
    </row>
    <row r="292" spans="1:35" ht="37.950000000000003" customHeight="1" x14ac:dyDescent="0.25">
      <c r="A292" s="90" t="s">
        <v>735</v>
      </c>
      <c r="B292" s="91"/>
      <c r="C292" s="91"/>
      <c r="D292" s="91"/>
      <c r="E292" s="91"/>
      <c r="F292" s="91"/>
      <c r="G292" s="91"/>
      <c r="H292" s="91"/>
      <c r="I292" s="64">
        <v>21122</v>
      </c>
      <c r="J292" s="62"/>
      <c r="K292" s="62"/>
      <c r="L292" s="62"/>
      <c r="M292" s="62"/>
      <c r="N292" s="62" t="s">
        <v>736</v>
      </c>
      <c r="O292" s="9"/>
      <c r="P292" s="10"/>
      <c r="Q292" s="9"/>
      <c r="R292" s="9"/>
      <c r="S292" s="9"/>
    </row>
    <row r="293" spans="1:35" x14ac:dyDescent="0.25">
      <c r="A293" s="90" t="s">
        <v>409</v>
      </c>
      <c r="B293" s="91"/>
      <c r="C293" s="91"/>
      <c r="D293" s="91"/>
      <c r="E293" s="91"/>
      <c r="F293" s="91"/>
      <c r="G293" s="91"/>
      <c r="H293" s="91"/>
      <c r="I293" s="64">
        <v>13308</v>
      </c>
      <c r="J293" s="62"/>
      <c r="K293" s="62"/>
      <c r="L293" s="62"/>
      <c r="M293" s="62"/>
      <c r="N293" s="62">
        <v>13.97</v>
      </c>
      <c r="O293" s="9"/>
      <c r="P293" s="10"/>
      <c r="Q293" s="9"/>
      <c r="R293" s="9"/>
      <c r="S293" s="9"/>
    </row>
    <row r="294" spans="1:35" ht="34.200000000000003" x14ac:dyDescent="0.25">
      <c r="A294" s="90" t="s">
        <v>217</v>
      </c>
      <c r="B294" s="91"/>
      <c r="C294" s="91"/>
      <c r="D294" s="91"/>
      <c r="E294" s="91"/>
      <c r="F294" s="91"/>
      <c r="G294" s="91"/>
      <c r="H294" s="91"/>
      <c r="I294" s="64">
        <v>34430</v>
      </c>
      <c r="J294" s="62"/>
      <c r="K294" s="62"/>
      <c r="L294" s="62"/>
      <c r="M294" s="62"/>
      <c r="N294" s="62" t="s">
        <v>732</v>
      </c>
      <c r="O294" s="9"/>
      <c r="P294" s="10"/>
      <c r="Q294" s="9"/>
      <c r="R294" s="9"/>
      <c r="S294" s="9"/>
    </row>
    <row r="295" spans="1:35" x14ac:dyDescent="0.25">
      <c r="A295" s="90" t="s">
        <v>218</v>
      </c>
      <c r="B295" s="91"/>
      <c r="C295" s="91"/>
      <c r="D295" s="91"/>
      <c r="E295" s="91"/>
      <c r="F295" s="91"/>
      <c r="G295" s="91"/>
      <c r="H295" s="91"/>
      <c r="I295" s="64"/>
      <c r="J295" s="62"/>
      <c r="K295" s="62"/>
      <c r="L295" s="62"/>
      <c r="M295" s="62"/>
      <c r="N295" s="62"/>
      <c r="O295" s="9"/>
      <c r="P295" s="10"/>
      <c r="Q295" s="9"/>
      <c r="R295" s="9"/>
      <c r="S295" s="9"/>
    </row>
    <row r="296" spans="1:35" x14ac:dyDescent="0.25">
      <c r="A296" s="90" t="s">
        <v>412</v>
      </c>
      <c r="B296" s="91"/>
      <c r="C296" s="91"/>
      <c r="D296" s="91"/>
      <c r="E296" s="91"/>
      <c r="F296" s="91"/>
      <c r="G296" s="91"/>
      <c r="H296" s="91"/>
      <c r="I296" s="64">
        <v>21985</v>
      </c>
      <c r="J296" s="62"/>
      <c r="K296" s="62"/>
      <c r="L296" s="62"/>
      <c r="M296" s="62"/>
      <c r="N296" s="62"/>
      <c r="O296" s="9"/>
      <c r="P296" s="10"/>
      <c r="Q296" s="9"/>
      <c r="R296" s="9"/>
      <c r="S296" s="9"/>
    </row>
    <row r="297" spans="1:35" x14ac:dyDescent="0.25">
      <c r="A297" s="90" t="s">
        <v>219</v>
      </c>
      <c r="B297" s="91"/>
      <c r="C297" s="91"/>
      <c r="D297" s="91"/>
      <c r="E297" s="91"/>
      <c r="F297" s="91"/>
      <c r="G297" s="91"/>
      <c r="H297" s="91"/>
      <c r="I297" s="64">
        <v>578</v>
      </c>
      <c r="J297" s="62"/>
      <c r="K297" s="62"/>
      <c r="L297" s="62"/>
      <c r="M297" s="62"/>
      <c r="N297" s="62"/>
      <c r="O297" s="9"/>
      <c r="P297" s="10"/>
      <c r="Q297" s="9"/>
      <c r="R297" s="9"/>
      <c r="S297" s="9"/>
    </row>
    <row r="298" spans="1:35" x14ac:dyDescent="0.25">
      <c r="A298" s="90" t="s">
        <v>220</v>
      </c>
      <c r="B298" s="91"/>
      <c r="C298" s="91"/>
      <c r="D298" s="91"/>
      <c r="E298" s="91"/>
      <c r="F298" s="91"/>
      <c r="G298" s="91"/>
      <c r="H298" s="91"/>
      <c r="I298" s="64">
        <v>4898</v>
      </c>
      <c r="J298" s="62"/>
      <c r="K298" s="62"/>
      <c r="L298" s="62"/>
      <c r="M298" s="62"/>
      <c r="N298" s="62"/>
      <c r="O298" s="9"/>
      <c r="P298" s="10"/>
      <c r="Q298" s="9"/>
      <c r="R298" s="9"/>
      <c r="S298" s="9"/>
    </row>
    <row r="299" spans="1:35" x14ac:dyDescent="0.25">
      <c r="A299" s="90" t="s">
        <v>221</v>
      </c>
      <c r="B299" s="91"/>
      <c r="C299" s="91"/>
      <c r="D299" s="91"/>
      <c r="E299" s="91"/>
      <c r="F299" s="91"/>
      <c r="G299" s="91"/>
      <c r="H299" s="91"/>
      <c r="I299" s="64">
        <v>4396</v>
      </c>
      <c r="J299" s="62"/>
      <c r="K299" s="62"/>
      <c r="L299" s="62"/>
      <c r="M299" s="62"/>
      <c r="N299" s="62"/>
      <c r="O299" s="9"/>
      <c r="P299" s="10"/>
      <c r="Q299" s="9"/>
      <c r="R299" s="9"/>
      <c r="S299" s="9"/>
    </row>
    <row r="300" spans="1:35" x14ac:dyDescent="0.25">
      <c r="A300" s="90" t="s">
        <v>222</v>
      </c>
      <c r="B300" s="91"/>
      <c r="C300" s="91"/>
      <c r="D300" s="91"/>
      <c r="E300" s="91"/>
      <c r="F300" s="91"/>
      <c r="G300" s="91"/>
      <c r="H300" s="91"/>
      <c r="I300" s="64">
        <v>2589</v>
      </c>
      <c r="J300" s="62"/>
      <c r="K300" s="62"/>
      <c r="L300" s="62"/>
      <c r="M300" s="62"/>
      <c r="N300" s="62"/>
      <c r="O300" s="9"/>
      <c r="P300" s="10"/>
      <c r="Q300" s="9"/>
      <c r="R300" s="9"/>
      <c r="S300" s="9"/>
    </row>
    <row r="301" spans="1:35" ht="34.200000000000003" x14ac:dyDescent="0.25">
      <c r="A301" s="111" t="s">
        <v>737</v>
      </c>
      <c r="B301" s="112"/>
      <c r="C301" s="112"/>
      <c r="D301" s="112"/>
      <c r="E301" s="112"/>
      <c r="F301" s="112"/>
      <c r="G301" s="112"/>
      <c r="H301" s="112"/>
      <c r="I301" s="77">
        <v>34430</v>
      </c>
      <c r="J301" s="78"/>
      <c r="K301" s="78"/>
      <c r="L301" s="78"/>
      <c r="M301" s="78"/>
      <c r="N301" s="78" t="s">
        <v>732</v>
      </c>
      <c r="O301" s="9"/>
      <c r="P301" s="10"/>
      <c r="Q301" s="9"/>
      <c r="R301" s="9"/>
      <c r="S301" s="9"/>
    </row>
    <row r="302" spans="1:35" ht="18.45" customHeight="1" x14ac:dyDescent="0.25">
      <c r="A302" s="93" t="s">
        <v>738</v>
      </c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</row>
    <row r="303" spans="1:35" ht="91.2" x14ac:dyDescent="0.25">
      <c r="A303" s="58">
        <v>122</v>
      </c>
      <c r="B303" s="59" t="s">
        <v>739</v>
      </c>
      <c r="C303" s="60" t="str">
        <f t="shared" ref="C303:C308" ca="1" si="10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Перенавеска водосточных труб: с земли, лестниц или подмостей
-----------------------------------------------------------------------
100 м труб
-----------------------------------------------------------------------4832 руб. НР 71%=83%*0.85 от ФОТ (6805 руб.)
3539 руб. СП 52%=65%*0.8 от ФОТ (6805 руб.)
</v>
      </c>
      <c r="D303" s="61">
        <v>0.82</v>
      </c>
      <c r="E303" s="62" t="s">
        <v>740</v>
      </c>
      <c r="F303" s="62"/>
      <c r="G303" s="62" t="s">
        <v>741</v>
      </c>
      <c r="H303" s="63" t="s">
        <v>742</v>
      </c>
      <c r="I303" s="64">
        <v>6835</v>
      </c>
      <c r="J303" s="62">
        <v>6805</v>
      </c>
      <c r="K303" s="62"/>
      <c r="L303" s="62" t="str">
        <f>IF(0.82*8.02=0," ",TEXT(,ROUND((0.82*8.02*4.22),0)))</f>
        <v>28</v>
      </c>
      <c r="M303" s="62"/>
      <c r="N303" s="62"/>
      <c r="O303" s="65"/>
      <c r="P303" s="65"/>
      <c r="Q303" s="65"/>
      <c r="R303" s="65"/>
      <c r="S303" s="65"/>
      <c r="T303" s="66"/>
      <c r="U303" s="66"/>
      <c r="V303" s="66"/>
      <c r="W303" s="66"/>
      <c r="X303" s="66"/>
      <c r="Y303" s="66"/>
      <c r="Z303" s="66"/>
      <c r="AA303" s="66" t="s">
        <v>116</v>
      </c>
      <c r="AB303" s="66" t="s">
        <v>117</v>
      </c>
      <c r="AC303" s="66">
        <v>4832</v>
      </c>
      <c r="AD303" s="66">
        <v>3539</v>
      </c>
      <c r="AE303" s="66"/>
      <c r="AF303" s="66" t="s">
        <v>743</v>
      </c>
      <c r="AG303" s="66" t="s">
        <v>744</v>
      </c>
      <c r="AH303" s="66"/>
      <c r="AI303" s="66">
        <f>6805+0</f>
        <v>6805</v>
      </c>
    </row>
    <row r="304" spans="1:35" ht="57" x14ac:dyDescent="0.25">
      <c r="A304" s="58">
        <v>123</v>
      </c>
      <c r="B304" s="59" t="s">
        <v>745</v>
      </c>
      <c r="C304" s="60" t="str">
        <f t="shared" ca="1" si="10"/>
        <v xml:space="preserve">Звенья водосточных труб из оцинкованной стали толщиной 0,55 мм, диаметром 140 мм
-----------------------------------------------------------------------
м
</v>
      </c>
      <c r="D304" s="61">
        <v>82</v>
      </c>
      <c r="E304" s="62">
        <v>56.5</v>
      </c>
      <c r="F304" s="62"/>
      <c r="G304" s="62" t="s">
        <v>746</v>
      </c>
      <c r="H304" s="63" t="s">
        <v>747</v>
      </c>
      <c r="I304" s="64">
        <v>12291</v>
      </c>
      <c r="J304" s="62"/>
      <c r="K304" s="62"/>
      <c r="L304" s="62" t="str">
        <f>IF(82*56.5=0," ",TEXT(,ROUND((82*56.5*2.653),0)))</f>
        <v>12291</v>
      </c>
      <c r="M304" s="62"/>
      <c r="N304" s="62"/>
      <c r="O304" s="65"/>
      <c r="P304" s="65"/>
      <c r="Q304" s="65"/>
      <c r="R304" s="65"/>
      <c r="S304" s="65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 t="s">
        <v>748</v>
      </c>
      <c r="AG304" s="66" t="s">
        <v>483</v>
      </c>
      <c r="AH304" s="66"/>
      <c r="AI304" s="66">
        <f>0+0</f>
        <v>0</v>
      </c>
    </row>
    <row r="305" spans="1:35" ht="57" x14ac:dyDescent="0.25">
      <c r="A305" s="58">
        <v>124</v>
      </c>
      <c r="B305" s="59" t="s">
        <v>749</v>
      </c>
      <c r="C305" s="60" t="str">
        <f t="shared" ca="1" si="10"/>
        <v xml:space="preserve">Воронка водосточная из оцинкованной стали толщиной 0,55 диаметром 215 мм
-----------------------------------------------------------------------
шт.
</v>
      </c>
      <c r="D305" s="61">
        <v>10</v>
      </c>
      <c r="E305" s="62">
        <v>67.8</v>
      </c>
      <c r="F305" s="62"/>
      <c r="G305" s="62" t="s">
        <v>750</v>
      </c>
      <c r="H305" s="63" t="s">
        <v>751</v>
      </c>
      <c r="I305" s="64">
        <v>5594</v>
      </c>
      <c r="J305" s="62"/>
      <c r="K305" s="62"/>
      <c r="L305" s="62" t="str">
        <f>IF(10*67.8=0," ",TEXT(,ROUND((10*67.8*8.251),0)))</f>
        <v>5594</v>
      </c>
      <c r="M305" s="62"/>
      <c r="N305" s="62"/>
      <c r="O305" s="65"/>
      <c r="P305" s="65"/>
      <c r="Q305" s="65"/>
      <c r="R305" s="65"/>
      <c r="S305" s="65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 t="s">
        <v>752</v>
      </c>
      <c r="AG305" s="66" t="s">
        <v>324</v>
      </c>
      <c r="AH305" s="66"/>
      <c r="AI305" s="66">
        <f>0+0</f>
        <v>0</v>
      </c>
    </row>
    <row r="306" spans="1:35" ht="57" x14ac:dyDescent="0.25">
      <c r="A306" s="58">
        <v>125</v>
      </c>
      <c r="B306" s="59" t="s">
        <v>753</v>
      </c>
      <c r="C306" s="60" t="str">
        <f t="shared" ca="1" si="10"/>
        <v xml:space="preserve">Колено из оцинкованной стали толщиной 0,55 мм, диаметром 140 мм
-----------------------------------------------------------------------
шт.
</v>
      </c>
      <c r="D306" s="61">
        <v>24</v>
      </c>
      <c r="E306" s="62">
        <v>34.799999999999997</v>
      </c>
      <c r="F306" s="62"/>
      <c r="G306" s="62" t="s">
        <v>754</v>
      </c>
      <c r="H306" s="63" t="s">
        <v>755</v>
      </c>
      <c r="I306" s="64">
        <v>3351</v>
      </c>
      <c r="J306" s="62"/>
      <c r="K306" s="62"/>
      <c r="L306" s="62" t="str">
        <f>IF(24*34.8=0," ",TEXT(,ROUND((24*34.8*4.013),0)))</f>
        <v>3352</v>
      </c>
      <c r="M306" s="62"/>
      <c r="N306" s="62"/>
      <c r="O306" s="65"/>
      <c r="P306" s="65"/>
      <c r="Q306" s="65"/>
      <c r="R306" s="65"/>
      <c r="S306" s="65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 t="s">
        <v>756</v>
      </c>
      <c r="AG306" s="66" t="s">
        <v>324</v>
      </c>
      <c r="AH306" s="66"/>
      <c r="AI306" s="66">
        <f>0+0</f>
        <v>0</v>
      </c>
    </row>
    <row r="307" spans="1:35" ht="57" x14ac:dyDescent="0.25">
      <c r="A307" s="58">
        <v>126</v>
      </c>
      <c r="B307" s="59" t="s">
        <v>757</v>
      </c>
      <c r="C307" s="60" t="str">
        <f t="shared" ca="1" si="10"/>
        <v xml:space="preserve">Отливы (отметы) из оцинкованной стали толщиной 0,55 мм диаметром 140 мм
-----------------------------------------------------------------------
шт.
</v>
      </c>
      <c r="D307" s="61">
        <v>10</v>
      </c>
      <c r="E307" s="62">
        <v>35.9</v>
      </c>
      <c r="F307" s="62"/>
      <c r="G307" s="62" t="s">
        <v>758</v>
      </c>
      <c r="H307" s="63" t="s">
        <v>759</v>
      </c>
      <c r="I307" s="64">
        <v>1400</v>
      </c>
      <c r="J307" s="62"/>
      <c r="K307" s="62"/>
      <c r="L307" s="62" t="str">
        <f>IF(10*35.9=0," ",TEXT(,ROUND((10*35.9*3.901),0)))</f>
        <v>1400</v>
      </c>
      <c r="M307" s="62"/>
      <c r="N307" s="62"/>
      <c r="O307" s="65"/>
      <c r="P307" s="65"/>
      <c r="Q307" s="65"/>
      <c r="R307" s="65"/>
      <c r="S307" s="65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 t="s">
        <v>760</v>
      </c>
      <c r="AG307" s="66" t="s">
        <v>324</v>
      </c>
      <c r="AH307" s="66"/>
      <c r="AI307" s="66">
        <f>0+0</f>
        <v>0</v>
      </c>
    </row>
    <row r="308" spans="1:35" ht="45.6" x14ac:dyDescent="0.25">
      <c r="A308" s="68">
        <v>127</v>
      </c>
      <c r="B308" s="69" t="s">
        <v>0</v>
      </c>
      <c r="C308" s="70" t="str">
        <f t="shared" ca="1" si="10"/>
        <v xml:space="preserve">Поковки из квадратных заготовок, масса 1,8 кг
-----------------------------------------------------------------------
т
</v>
      </c>
      <c r="D308" s="71">
        <v>0.108</v>
      </c>
      <c r="E308" s="72">
        <v>5989</v>
      </c>
      <c r="F308" s="72"/>
      <c r="G308" s="72" t="s">
        <v>1</v>
      </c>
      <c r="H308" s="73" t="s">
        <v>2</v>
      </c>
      <c r="I308" s="74">
        <v>4722</v>
      </c>
      <c r="J308" s="72"/>
      <c r="K308" s="72"/>
      <c r="L308" s="72" t="str">
        <f>IF(0.108*5989=0," ",TEXT(,ROUND((0.108*5989*7.299),0)))</f>
        <v>4721</v>
      </c>
      <c r="M308" s="72"/>
      <c r="N308" s="72"/>
      <c r="O308" s="65"/>
      <c r="P308" s="65"/>
      <c r="Q308" s="65"/>
      <c r="R308" s="65"/>
      <c r="S308" s="65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 t="s">
        <v>3</v>
      </c>
      <c r="AG308" s="66" t="s">
        <v>354</v>
      </c>
      <c r="AH308" s="66"/>
      <c r="AI308" s="66">
        <f>0+0</f>
        <v>0</v>
      </c>
    </row>
    <row r="309" spans="1:35" x14ac:dyDescent="0.25">
      <c r="A309" s="90" t="s">
        <v>199</v>
      </c>
      <c r="B309" s="91"/>
      <c r="C309" s="91"/>
      <c r="D309" s="91"/>
      <c r="E309" s="91"/>
      <c r="F309" s="91"/>
      <c r="G309" s="91"/>
      <c r="H309" s="91"/>
      <c r="I309" s="64">
        <v>7587</v>
      </c>
      <c r="J309" s="62">
        <v>428</v>
      </c>
      <c r="K309" s="62"/>
      <c r="L309" s="62">
        <v>7159</v>
      </c>
      <c r="M309" s="62"/>
      <c r="N309" s="62"/>
      <c r="O309" s="9"/>
      <c r="P309" s="10"/>
      <c r="Q309" s="9"/>
      <c r="R309" s="9"/>
      <c r="S309" s="9"/>
    </row>
    <row r="310" spans="1:35" x14ac:dyDescent="0.25">
      <c r="A310" s="90" t="s">
        <v>202</v>
      </c>
      <c r="B310" s="91"/>
      <c r="C310" s="91"/>
      <c r="D310" s="91"/>
      <c r="E310" s="91"/>
      <c r="F310" s="91"/>
      <c r="G310" s="91"/>
      <c r="H310" s="91"/>
      <c r="I310" s="64">
        <v>34193</v>
      </c>
      <c r="J310" s="62">
        <v>6805</v>
      </c>
      <c r="K310" s="62"/>
      <c r="L310" s="62">
        <v>27388</v>
      </c>
      <c r="M310" s="62"/>
      <c r="N310" s="62"/>
      <c r="O310" s="9"/>
      <c r="P310" s="10"/>
      <c r="Q310" s="9"/>
      <c r="R310" s="9"/>
      <c r="S310" s="9"/>
    </row>
    <row r="311" spans="1:35" x14ac:dyDescent="0.25">
      <c r="A311" s="90" t="s">
        <v>204</v>
      </c>
      <c r="B311" s="91"/>
      <c r="C311" s="91"/>
      <c r="D311" s="91"/>
      <c r="E311" s="91"/>
      <c r="F311" s="91"/>
      <c r="G311" s="91"/>
      <c r="H311" s="91"/>
      <c r="I311" s="64">
        <v>4832</v>
      </c>
      <c r="J311" s="62"/>
      <c r="K311" s="62"/>
      <c r="L311" s="62"/>
      <c r="M311" s="62"/>
      <c r="N311" s="62"/>
      <c r="O311" s="9"/>
      <c r="P311" s="10"/>
      <c r="Q311" s="9"/>
      <c r="R311" s="9"/>
      <c r="S311" s="9"/>
    </row>
    <row r="312" spans="1:35" x14ac:dyDescent="0.25">
      <c r="A312" s="90" t="s">
        <v>205</v>
      </c>
      <c r="B312" s="91"/>
      <c r="C312" s="91"/>
      <c r="D312" s="91"/>
      <c r="E312" s="91"/>
      <c r="F312" s="91"/>
      <c r="G312" s="91"/>
      <c r="H312" s="91"/>
      <c r="I312" s="64">
        <v>3539</v>
      </c>
      <c r="J312" s="62"/>
      <c r="K312" s="62"/>
      <c r="L312" s="62"/>
      <c r="M312" s="62"/>
      <c r="N312" s="62"/>
      <c r="O312" s="9"/>
      <c r="P312" s="10"/>
      <c r="Q312" s="9"/>
      <c r="R312" s="9"/>
      <c r="S312" s="9"/>
    </row>
    <row r="313" spans="1:35" x14ac:dyDescent="0.25">
      <c r="A313" s="93" t="s">
        <v>4</v>
      </c>
      <c r="B313" s="94"/>
      <c r="C313" s="94"/>
      <c r="D313" s="94"/>
      <c r="E313" s="94"/>
      <c r="F313" s="94"/>
      <c r="G313" s="94"/>
      <c r="H313" s="94"/>
      <c r="I313" s="75"/>
      <c r="J313" s="76"/>
      <c r="K313" s="76"/>
      <c r="L313" s="76"/>
      <c r="M313" s="62"/>
      <c r="N313" s="62"/>
      <c r="O313" s="9"/>
      <c r="P313" s="10"/>
      <c r="Q313" s="9"/>
      <c r="R313" s="9"/>
      <c r="S313" s="9"/>
    </row>
    <row r="314" spans="1:35" x14ac:dyDescent="0.25">
      <c r="A314" s="90" t="s">
        <v>209</v>
      </c>
      <c r="B314" s="91"/>
      <c r="C314" s="91"/>
      <c r="D314" s="91"/>
      <c r="E314" s="91"/>
      <c r="F314" s="91"/>
      <c r="G314" s="91"/>
      <c r="H314" s="91"/>
      <c r="I314" s="64">
        <v>42564</v>
      </c>
      <c r="J314" s="62"/>
      <c r="K314" s="62"/>
      <c r="L314" s="62"/>
      <c r="M314" s="62"/>
      <c r="N314" s="62"/>
      <c r="O314" s="9"/>
      <c r="P314" s="10"/>
      <c r="Q314" s="9"/>
      <c r="R314" s="9"/>
      <c r="S314" s="9"/>
    </row>
    <row r="315" spans="1:35" x14ac:dyDescent="0.25">
      <c r="A315" s="90" t="s">
        <v>217</v>
      </c>
      <c r="B315" s="91"/>
      <c r="C315" s="91"/>
      <c r="D315" s="91"/>
      <c r="E315" s="91"/>
      <c r="F315" s="91"/>
      <c r="G315" s="91"/>
      <c r="H315" s="91"/>
      <c r="I315" s="64">
        <v>42564</v>
      </c>
      <c r="J315" s="62"/>
      <c r="K315" s="62"/>
      <c r="L315" s="62"/>
      <c r="M315" s="62"/>
      <c r="N315" s="62"/>
      <c r="O315" s="9"/>
      <c r="P315" s="10"/>
      <c r="Q315" s="9"/>
      <c r="R315" s="9"/>
      <c r="S315" s="9"/>
    </row>
    <row r="316" spans="1:35" x14ac:dyDescent="0.25">
      <c r="A316" s="90" t="s">
        <v>218</v>
      </c>
      <c r="B316" s="91"/>
      <c r="C316" s="91"/>
      <c r="D316" s="91"/>
      <c r="E316" s="91"/>
      <c r="F316" s="91"/>
      <c r="G316" s="91"/>
      <c r="H316" s="91"/>
      <c r="I316" s="64"/>
      <c r="J316" s="62"/>
      <c r="K316" s="62"/>
      <c r="L316" s="62"/>
      <c r="M316" s="62"/>
      <c r="N316" s="62"/>
      <c r="O316" s="9"/>
      <c r="P316" s="10"/>
      <c r="Q316" s="9"/>
      <c r="R316" s="9"/>
      <c r="S316" s="9"/>
    </row>
    <row r="317" spans="1:35" x14ac:dyDescent="0.25">
      <c r="A317" s="90" t="s">
        <v>412</v>
      </c>
      <c r="B317" s="91"/>
      <c r="C317" s="91"/>
      <c r="D317" s="91"/>
      <c r="E317" s="91"/>
      <c r="F317" s="91"/>
      <c r="G317" s="91"/>
      <c r="H317" s="91"/>
      <c r="I317" s="64">
        <v>27388</v>
      </c>
      <c r="J317" s="62"/>
      <c r="K317" s="62"/>
      <c r="L317" s="62"/>
      <c r="M317" s="62"/>
      <c r="N317" s="62"/>
      <c r="O317" s="9"/>
      <c r="P317" s="10"/>
      <c r="Q317" s="9"/>
      <c r="R317" s="9"/>
      <c r="S317" s="9"/>
    </row>
    <row r="318" spans="1:35" x14ac:dyDescent="0.25">
      <c r="A318" s="90" t="s">
        <v>220</v>
      </c>
      <c r="B318" s="91"/>
      <c r="C318" s="91"/>
      <c r="D318" s="91"/>
      <c r="E318" s="91"/>
      <c r="F318" s="91"/>
      <c r="G318" s="91"/>
      <c r="H318" s="91"/>
      <c r="I318" s="64">
        <v>6805</v>
      </c>
      <c r="J318" s="62"/>
      <c r="K318" s="62"/>
      <c r="L318" s="62"/>
      <c r="M318" s="62"/>
      <c r="N318" s="62"/>
      <c r="O318" s="9"/>
      <c r="P318" s="10"/>
      <c r="Q318" s="9"/>
      <c r="R318" s="9"/>
      <c r="S318" s="9"/>
    </row>
    <row r="319" spans="1:35" x14ac:dyDescent="0.25">
      <c r="A319" s="90" t="s">
        <v>221</v>
      </c>
      <c r="B319" s="91"/>
      <c r="C319" s="91"/>
      <c r="D319" s="91"/>
      <c r="E319" s="91"/>
      <c r="F319" s="91"/>
      <c r="G319" s="91"/>
      <c r="H319" s="91"/>
      <c r="I319" s="64">
        <v>4832</v>
      </c>
      <c r="J319" s="62"/>
      <c r="K319" s="62"/>
      <c r="L319" s="62"/>
      <c r="M319" s="62"/>
      <c r="N319" s="62"/>
      <c r="O319" s="9"/>
      <c r="P319" s="10"/>
      <c r="Q319" s="9"/>
      <c r="R319" s="9"/>
      <c r="S319" s="9"/>
    </row>
    <row r="320" spans="1:35" x14ac:dyDescent="0.25">
      <c r="A320" s="90" t="s">
        <v>222</v>
      </c>
      <c r="B320" s="91"/>
      <c r="C320" s="91"/>
      <c r="D320" s="91"/>
      <c r="E320" s="91"/>
      <c r="F320" s="91"/>
      <c r="G320" s="91"/>
      <c r="H320" s="91"/>
      <c r="I320" s="64">
        <v>3539</v>
      </c>
      <c r="J320" s="62"/>
      <c r="K320" s="62"/>
      <c r="L320" s="62"/>
      <c r="M320" s="62"/>
      <c r="N320" s="62"/>
      <c r="O320" s="9"/>
      <c r="P320" s="10"/>
      <c r="Q320" s="9"/>
      <c r="R320" s="9"/>
      <c r="S320" s="9"/>
    </row>
    <row r="321" spans="1:35" x14ac:dyDescent="0.25">
      <c r="A321" s="111" t="s">
        <v>5</v>
      </c>
      <c r="B321" s="112"/>
      <c r="C321" s="112"/>
      <c r="D321" s="112"/>
      <c r="E321" s="112"/>
      <c r="F321" s="112"/>
      <c r="G321" s="112"/>
      <c r="H321" s="112"/>
      <c r="I321" s="77">
        <v>42564</v>
      </c>
      <c r="J321" s="78"/>
      <c r="K321" s="78"/>
      <c r="L321" s="78"/>
      <c r="M321" s="72"/>
      <c r="N321" s="72"/>
      <c r="O321" s="9"/>
      <c r="P321" s="10"/>
      <c r="Q321" s="9"/>
      <c r="R321" s="9"/>
      <c r="S321" s="9"/>
    </row>
    <row r="322" spans="1:35" ht="18.45" customHeight="1" x14ac:dyDescent="0.25">
      <c r="A322" s="93" t="s">
        <v>6</v>
      </c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</row>
    <row r="323" spans="1:35" ht="91.2" x14ac:dyDescent="0.25">
      <c r="A323" s="58">
        <v>128</v>
      </c>
      <c r="B323" s="59" t="s">
        <v>7</v>
      </c>
      <c r="C323" s="60" t="str">
        <f t="shared" ref="C323:C329" ca="1" si="1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Проводник заземляющий открыто по строительным основаниям: из круглой стали диаметром 8 мм
-----------------------------------------------------------------------
100 м
-----------------------------------------------------------------------6376 руб. НР 81%=95%*0.85 от ФОТ (7871 руб.)
4093 руб. СП 52%=65%*0.8 от ФОТ (7871 руб.)
</v>
      </c>
      <c r="D323" s="61">
        <v>2.6</v>
      </c>
      <c r="E323" s="62" t="s">
        <v>8</v>
      </c>
      <c r="F323" s="62" t="s">
        <v>9</v>
      </c>
      <c r="G323" s="62" t="s">
        <v>10</v>
      </c>
      <c r="H323" s="63" t="s">
        <v>11</v>
      </c>
      <c r="I323" s="64">
        <v>11662</v>
      </c>
      <c r="J323" s="62">
        <v>7807</v>
      </c>
      <c r="K323" s="62" t="s">
        <v>12</v>
      </c>
      <c r="L323" s="62" t="str">
        <f>IF(2.6*301.01=0," ",TEXT(,ROUND((2.6*301.01*3.45),0)))</f>
        <v>2700</v>
      </c>
      <c r="M323" s="62" t="s">
        <v>13</v>
      </c>
      <c r="N323" s="62" t="s">
        <v>14</v>
      </c>
      <c r="O323" s="65"/>
      <c r="P323" s="65"/>
      <c r="Q323" s="65"/>
      <c r="R323" s="65"/>
      <c r="S323" s="65"/>
      <c r="T323" s="66"/>
      <c r="U323" s="66"/>
      <c r="V323" s="66"/>
      <c r="W323" s="66"/>
      <c r="X323" s="66"/>
      <c r="Y323" s="66"/>
      <c r="Z323" s="66"/>
      <c r="AA323" s="66" t="s">
        <v>15</v>
      </c>
      <c r="AB323" s="66" t="s">
        <v>117</v>
      </c>
      <c r="AC323" s="66">
        <v>6376</v>
      </c>
      <c r="AD323" s="66">
        <v>4093</v>
      </c>
      <c r="AE323" s="66"/>
      <c r="AF323" s="66" t="s">
        <v>16</v>
      </c>
      <c r="AG323" s="66" t="s">
        <v>148</v>
      </c>
      <c r="AH323" s="66"/>
      <c r="AI323" s="66">
        <f>7807+64</f>
        <v>7871</v>
      </c>
    </row>
    <row r="324" spans="1:35" ht="57" x14ac:dyDescent="0.25">
      <c r="A324" s="58">
        <v>129</v>
      </c>
      <c r="B324" s="59" t="s">
        <v>17</v>
      </c>
      <c r="C324" s="60" t="str">
        <f t="shared" ca="1" si="11"/>
        <v xml:space="preserve">Горячекатаная арматурная сталь гладкая класса А-I, диаметром 8 мм
-----------------------------------------------------------------------
т
</v>
      </c>
      <c r="D324" s="61">
        <v>0.1027</v>
      </c>
      <c r="E324" s="62">
        <v>6780</v>
      </c>
      <c r="F324" s="62"/>
      <c r="G324" s="62" t="s">
        <v>18</v>
      </c>
      <c r="H324" s="63" t="s">
        <v>19</v>
      </c>
      <c r="I324" s="64">
        <v>2105</v>
      </c>
      <c r="J324" s="62"/>
      <c r="K324" s="62"/>
      <c r="L324" s="62" t="str">
        <f>IF(0.1027*6780=0," ",TEXT(,ROUND((0.1027*6780*3.025),0)))</f>
        <v>2106</v>
      </c>
      <c r="M324" s="62"/>
      <c r="N324" s="62"/>
      <c r="O324" s="65"/>
      <c r="P324" s="65"/>
      <c r="Q324" s="65"/>
      <c r="R324" s="65"/>
      <c r="S324" s="65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 t="s">
        <v>20</v>
      </c>
      <c r="AG324" s="66" t="s">
        <v>354</v>
      </c>
      <c r="AH324" s="66"/>
      <c r="AI324" s="66">
        <f>0+0</f>
        <v>0</v>
      </c>
    </row>
    <row r="325" spans="1:35" ht="91.2" x14ac:dyDescent="0.25">
      <c r="A325" s="58">
        <v>130</v>
      </c>
      <c r="B325" s="59" t="s">
        <v>21</v>
      </c>
      <c r="C325" s="60" t="str">
        <f t="shared" ca="1" si="11"/>
        <v xml:space="preserve">Заземлитель горизонтальный из стали: полосовой сечением 160 мм2
-----------------------------------------------------------------------
100 м
-----------------------------------------------------------------------515 руб. НР 81%=95%*0.85 от ФОТ (636 руб.)
331 руб. СП 52%=65%*0.8 от ФОТ (636 руб.)
</v>
      </c>
      <c r="D325" s="61">
        <v>0.25</v>
      </c>
      <c r="E325" s="62" t="s">
        <v>22</v>
      </c>
      <c r="F325" s="62" t="s">
        <v>23</v>
      </c>
      <c r="G325" s="62" t="s">
        <v>24</v>
      </c>
      <c r="H325" s="63" t="s">
        <v>25</v>
      </c>
      <c r="I325" s="64">
        <v>847</v>
      </c>
      <c r="J325" s="62">
        <v>620</v>
      </c>
      <c r="K325" s="62" t="s">
        <v>26</v>
      </c>
      <c r="L325" s="62" t="str">
        <f>IF(0.25*41.59=0," ",TEXT(,ROUND((0.25*41.59*6.31),0)))</f>
        <v>66</v>
      </c>
      <c r="M325" s="62" t="s">
        <v>27</v>
      </c>
      <c r="N325" s="62" t="s">
        <v>28</v>
      </c>
      <c r="O325" s="65"/>
      <c r="P325" s="65"/>
      <c r="Q325" s="65"/>
      <c r="R325" s="65"/>
      <c r="S325" s="65"/>
      <c r="T325" s="66"/>
      <c r="U325" s="66"/>
      <c r="V325" s="66"/>
      <c r="W325" s="66"/>
      <c r="X325" s="66"/>
      <c r="Y325" s="66"/>
      <c r="Z325" s="66"/>
      <c r="AA325" s="66" t="s">
        <v>15</v>
      </c>
      <c r="AB325" s="66" t="s">
        <v>117</v>
      </c>
      <c r="AC325" s="66">
        <v>515</v>
      </c>
      <c r="AD325" s="66">
        <v>331</v>
      </c>
      <c r="AE325" s="66"/>
      <c r="AF325" s="66" t="s">
        <v>29</v>
      </c>
      <c r="AG325" s="66" t="s">
        <v>148</v>
      </c>
      <c r="AH325" s="66"/>
      <c r="AI325" s="66">
        <f>620+16</f>
        <v>636</v>
      </c>
    </row>
    <row r="326" spans="1:35" ht="52.8" x14ac:dyDescent="0.25">
      <c r="A326" s="58">
        <v>131</v>
      </c>
      <c r="B326" s="59" t="s">
        <v>30</v>
      </c>
      <c r="C326" s="60" t="str">
        <f t="shared" ca="1" si="11"/>
        <v xml:space="preserve">Сталь полосовая 40х4 мм  25*1,26=31,5
-----------------------------------------------------------------------
т
</v>
      </c>
      <c r="D326" s="61">
        <v>3.15E-2</v>
      </c>
      <c r="E326" s="62">
        <v>6100</v>
      </c>
      <c r="F326" s="62"/>
      <c r="G326" s="62" t="s">
        <v>31</v>
      </c>
      <c r="H326" s="63" t="s">
        <v>32</v>
      </c>
      <c r="I326" s="64">
        <v>861</v>
      </c>
      <c r="J326" s="62"/>
      <c r="K326" s="62"/>
      <c r="L326" s="62" t="str">
        <f>IF(0.0315*6100=0," ",TEXT(,ROUND((0.0315*6100*4.482),0)))</f>
        <v>861</v>
      </c>
      <c r="M326" s="62"/>
      <c r="N326" s="62"/>
      <c r="O326" s="65"/>
      <c r="P326" s="65"/>
      <c r="Q326" s="65"/>
      <c r="R326" s="65"/>
      <c r="S326" s="65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 t="s">
        <v>33</v>
      </c>
      <c r="AG326" s="66" t="s">
        <v>354</v>
      </c>
      <c r="AH326" s="66"/>
      <c r="AI326" s="66">
        <f>0+0</f>
        <v>0</v>
      </c>
    </row>
    <row r="327" spans="1:35" ht="91.2" x14ac:dyDescent="0.25">
      <c r="A327" s="58">
        <v>132</v>
      </c>
      <c r="B327" s="59" t="s">
        <v>34</v>
      </c>
      <c r="C327" s="60" t="str">
        <f t="shared" ca="1" si="11"/>
        <v xml:space="preserve">Заземлитель вертикальный из угловой стали размером: 50х50х5 мм
-----------------------------------------------------------------------
10 шт.
-----------------------------------------------------------------------1056 руб. НР 81%=95%*0.85 от ФОТ (1304 руб.)
678 руб. СП 52%=65%*0.8 от ФОТ (1304 руб.)
</v>
      </c>
      <c r="D327" s="61">
        <v>0.8</v>
      </c>
      <c r="E327" s="62" t="s">
        <v>35</v>
      </c>
      <c r="F327" s="62" t="s">
        <v>36</v>
      </c>
      <c r="G327" s="62" t="s">
        <v>37</v>
      </c>
      <c r="H327" s="63" t="s">
        <v>38</v>
      </c>
      <c r="I327" s="64">
        <v>1804</v>
      </c>
      <c r="J327" s="62">
        <v>1272</v>
      </c>
      <c r="K327" s="62" t="s">
        <v>39</v>
      </c>
      <c r="L327" s="62" t="str">
        <f>IF(0.8*24.53=0," ",TEXT(,ROUND((0.8*24.53*6.35),0)))</f>
        <v>125</v>
      </c>
      <c r="M327" s="62" t="s">
        <v>40</v>
      </c>
      <c r="N327" s="62" t="s">
        <v>41</v>
      </c>
      <c r="O327" s="65"/>
      <c r="P327" s="65"/>
      <c r="Q327" s="65"/>
      <c r="R327" s="65"/>
      <c r="S327" s="65"/>
      <c r="T327" s="66"/>
      <c r="U327" s="66"/>
      <c r="V327" s="66"/>
      <c r="W327" s="66"/>
      <c r="X327" s="66"/>
      <c r="Y327" s="66"/>
      <c r="Z327" s="66"/>
      <c r="AA327" s="66" t="s">
        <v>15</v>
      </c>
      <c r="AB327" s="66" t="s">
        <v>117</v>
      </c>
      <c r="AC327" s="66">
        <v>1056</v>
      </c>
      <c r="AD327" s="66">
        <v>678</v>
      </c>
      <c r="AE327" s="66"/>
      <c r="AF327" s="66" t="s">
        <v>42</v>
      </c>
      <c r="AG327" s="66" t="s">
        <v>635</v>
      </c>
      <c r="AH327" s="66"/>
      <c r="AI327" s="66">
        <f>1272+32</f>
        <v>1304</v>
      </c>
    </row>
    <row r="328" spans="1:35" ht="148.19999999999999" x14ac:dyDescent="0.25">
      <c r="A328" s="58">
        <v>133</v>
      </c>
      <c r="B328" s="59" t="s">
        <v>642</v>
      </c>
      <c r="C328" s="60" t="str">
        <f t="shared" ca="1" si="11"/>
        <v xml:space="preserve">Огрунтовка металлических поверхностей за один раз: грунтовкой ГФ-021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ТЗМ=1,25)
-----------------------------------------------------------------------88 руб. НР 69%=90%*(0.9*0.85) от ФОТ (127 руб.)
61 руб. СП 48%=70%*(0.85*0.8) от ФОТ (127 руб.)
</v>
      </c>
      <c r="D328" s="61">
        <v>0.12</v>
      </c>
      <c r="E328" s="62" t="s">
        <v>503</v>
      </c>
      <c r="F328" s="62" t="s">
        <v>504</v>
      </c>
      <c r="G328" s="62" t="s">
        <v>505</v>
      </c>
      <c r="H328" s="63" t="s">
        <v>506</v>
      </c>
      <c r="I328" s="64">
        <v>258</v>
      </c>
      <c r="J328" s="62">
        <v>127</v>
      </c>
      <c r="K328" s="62">
        <v>11</v>
      </c>
      <c r="L328" s="62" t="str">
        <f>IF(0.12*202.72=0," ",TEXT(,ROUND((0.12*202.72*4.81),0)))</f>
        <v>117</v>
      </c>
      <c r="M328" s="62"/>
      <c r="N328" s="62"/>
      <c r="O328" s="65"/>
      <c r="P328" s="65"/>
      <c r="Q328" s="65"/>
      <c r="R328" s="65"/>
      <c r="S328" s="65"/>
      <c r="T328" s="66"/>
      <c r="U328" s="66"/>
      <c r="V328" s="66"/>
      <c r="W328" s="66"/>
      <c r="X328" s="66"/>
      <c r="Y328" s="66"/>
      <c r="Z328" s="66"/>
      <c r="AA328" s="66" t="s">
        <v>509</v>
      </c>
      <c r="AB328" s="66" t="s">
        <v>107</v>
      </c>
      <c r="AC328" s="66">
        <v>88</v>
      </c>
      <c r="AD328" s="66">
        <v>61</v>
      </c>
      <c r="AE328" s="66" t="s">
        <v>233</v>
      </c>
      <c r="AF328" s="66" t="s">
        <v>510</v>
      </c>
      <c r="AG328" s="66" t="s">
        <v>511</v>
      </c>
      <c r="AH328" s="66"/>
      <c r="AI328" s="66">
        <f>127+0</f>
        <v>127</v>
      </c>
    </row>
    <row r="329" spans="1:35" ht="159.6" x14ac:dyDescent="0.25">
      <c r="A329" s="68">
        <v>134</v>
      </c>
      <c r="B329" s="69" t="s">
        <v>570</v>
      </c>
      <c r="C329" s="70" t="str">
        <f t="shared" ca="1" si="11"/>
        <v xml:space="preserve">Окраска металлических огрунтованных поверхностей: эмалью ПФ-115
-----------------------------------------------------------------------
100 м2 окрашиваемой поверхности
-----------------------------------------------------------------------(МДС 81-35.2004 п.4.7. При ремонте и реконструкции зданий и сооружений работы, аналогичные технологическим процессам в новом строительстве ОЗП=1,15; ЭМ=1,25 к расх.; ЗПМ=1,25; ТЗ=1,15; ТЗМ=1,25;
к=2  ОЗП=2; ЭМ=2; ЗПМ=2; МАТ=2)
-----------------------------------------------------------------------110 руб. НР 69%=90%*(0.9*0.85) от ФОТ (159 руб.)
76 руб. СП 48%=70%*(0.85*0.8) от ФОТ (159 руб.)
</v>
      </c>
      <c r="D329" s="71">
        <v>0.12</v>
      </c>
      <c r="E329" s="72" t="s">
        <v>513</v>
      </c>
      <c r="F329" s="72" t="s">
        <v>514</v>
      </c>
      <c r="G329" s="72" t="s">
        <v>515</v>
      </c>
      <c r="H329" s="73" t="s">
        <v>516</v>
      </c>
      <c r="I329" s="74">
        <v>586</v>
      </c>
      <c r="J329" s="72">
        <v>159</v>
      </c>
      <c r="K329" s="72">
        <v>22</v>
      </c>
      <c r="L329" s="72" t="str">
        <f>IF(0.12*562.56=0," ",TEXT(,ROUND((0.12*562.56*6.04),0)))</f>
        <v>408</v>
      </c>
      <c r="M329" s="72"/>
      <c r="N329" s="72"/>
      <c r="O329" s="65"/>
      <c r="P329" s="65"/>
      <c r="Q329" s="65"/>
      <c r="R329" s="65"/>
      <c r="S329" s="65"/>
      <c r="T329" s="66"/>
      <c r="U329" s="66"/>
      <c r="V329" s="66"/>
      <c r="W329" s="66"/>
      <c r="X329" s="66"/>
      <c r="Y329" s="66"/>
      <c r="Z329" s="66"/>
      <c r="AA329" s="66" t="s">
        <v>509</v>
      </c>
      <c r="AB329" s="66" t="s">
        <v>107</v>
      </c>
      <c r="AC329" s="66">
        <v>110</v>
      </c>
      <c r="AD329" s="66">
        <v>76</v>
      </c>
      <c r="AE329" s="79" t="s">
        <v>571</v>
      </c>
      <c r="AF329" s="66" t="s">
        <v>643</v>
      </c>
      <c r="AG329" s="66" t="s">
        <v>511</v>
      </c>
      <c r="AH329" s="66"/>
      <c r="AI329" s="66">
        <f>159+0</f>
        <v>159</v>
      </c>
    </row>
    <row r="330" spans="1:35" ht="34.200000000000003" x14ac:dyDescent="0.25">
      <c r="A330" s="90" t="s">
        <v>199</v>
      </c>
      <c r="B330" s="91"/>
      <c r="C330" s="91"/>
      <c r="D330" s="91"/>
      <c r="E330" s="91"/>
      <c r="F330" s="91"/>
      <c r="G330" s="91"/>
      <c r="H330" s="91"/>
      <c r="I330" s="64">
        <v>2622</v>
      </c>
      <c r="J330" s="62">
        <v>628</v>
      </c>
      <c r="K330" s="62" t="s">
        <v>43</v>
      </c>
      <c r="L330" s="62">
        <v>1793</v>
      </c>
      <c r="M330" s="62"/>
      <c r="N330" s="62" t="s">
        <v>44</v>
      </c>
      <c r="O330" s="9"/>
      <c r="P330" s="10"/>
      <c r="Q330" s="9"/>
      <c r="R330" s="9"/>
      <c r="S330" s="9"/>
    </row>
    <row r="331" spans="1:35" ht="34.200000000000003" x14ac:dyDescent="0.25">
      <c r="A331" s="90" t="s">
        <v>202</v>
      </c>
      <c r="B331" s="91"/>
      <c r="C331" s="91"/>
      <c r="D331" s="91"/>
      <c r="E331" s="91"/>
      <c r="F331" s="91"/>
      <c r="G331" s="91"/>
      <c r="H331" s="91"/>
      <c r="I331" s="64">
        <v>18123</v>
      </c>
      <c r="J331" s="62">
        <v>9985</v>
      </c>
      <c r="K331" s="62" t="s">
        <v>45</v>
      </c>
      <c r="L331" s="62">
        <v>6382</v>
      </c>
      <c r="M331" s="62"/>
      <c r="N331" s="62" t="s">
        <v>44</v>
      </c>
      <c r="O331" s="9"/>
      <c r="P331" s="10"/>
      <c r="Q331" s="9"/>
      <c r="R331" s="9"/>
      <c r="S331" s="9"/>
    </row>
    <row r="332" spans="1:35" x14ac:dyDescent="0.25">
      <c r="A332" s="90" t="s">
        <v>204</v>
      </c>
      <c r="B332" s="91"/>
      <c r="C332" s="91"/>
      <c r="D332" s="91"/>
      <c r="E332" s="91"/>
      <c r="F332" s="91"/>
      <c r="G332" s="91"/>
      <c r="H332" s="91"/>
      <c r="I332" s="64">
        <v>8144</v>
      </c>
      <c r="J332" s="62"/>
      <c r="K332" s="62"/>
      <c r="L332" s="62"/>
      <c r="M332" s="62"/>
      <c r="N332" s="62"/>
      <c r="O332" s="9"/>
      <c r="P332" s="10"/>
      <c r="Q332" s="9"/>
      <c r="R332" s="9"/>
      <c r="S332" s="9"/>
    </row>
    <row r="333" spans="1:35" x14ac:dyDescent="0.25">
      <c r="A333" s="90" t="s">
        <v>205</v>
      </c>
      <c r="B333" s="91"/>
      <c r="C333" s="91"/>
      <c r="D333" s="91"/>
      <c r="E333" s="91"/>
      <c r="F333" s="91"/>
      <c r="G333" s="91"/>
      <c r="H333" s="91"/>
      <c r="I333" s="64">
        <v>5239</v>
      </c>
      <c r="J333" s="62"/>
      <c r="K333" s="62"/>
      <c r="L333" s="62"/>
      <c r="M333" s="62"/>
      <c r="N333" s="62"/>
      <c r="O333" s="9"/>
      <c r="P333" s="10"/>
      <c r="Q333" s="9"/>
      <c r="R333" s="9"/>
      <c r="S333" s="9"/>
    </row>
    <row r="334" spans="1:35" x14ac:dyDescent="0.25">
      <c r="A334" s="93" t="s">
        <v>46</v>
      </c>
      <c r="B334" s="94"/>
      <c r="C334" s="94"/>
      <c r="D334" s="94"/>
      <c r="E334" s="94"/>
      <c r="F334" s="94"/>
      <c r="G334" s="94"/>
      <c r="H334" s="94"/>
      <c r="I334" s="75"/>
      <c r="J334" s="76"/>
      <c r="K334" s="76"/>
      <c r="L334" s="76"/>
      <c r="M334" s="76"/>
      <c r="N334" s="76"/>
      <c r="O334" s="9"/>
      <c r="P334" s="10"/>
      <c r="Q334" s="9"/>
      <c r="R334" s="9"/>
      <c r="S334" s="9"/>
    </row>
    <row r="335" spans="1:35" x14ac:dyDescent="0.25">
      <c r="A335" s="90" t="s">
        <v>47</v>
      </c>
      <c r="B335" s="91"/>
      <c r="C335" s="91"/>
      <c r="D335" s="91"/>
      <c r="E335" s="91"/>
      <c r="F335" s="91"/>
      <c r="G335" s="91"/>
      <c r="H335" s="91"/>
      <c r="I335" s="64">
        <v>1178</v>
      </c>
      <c r="J335" s="62"/>
      <c r="K335" s="62"/>
      <c r="L335" s="62"/>
      <c r="M335" s="62"/>
      <c r="N335" s="62"/>
      <c r="O335" s="9"/>
      <c r="P335" s="10"/>
      <c r="Q335" s="9"/>
      <c r="R335" s="9"/>
      <c r="S335" s="9"/>
    </row>
    <row r="336" spans="1:35" ht="34.200000000000003" x14ac:dyDescent="0.25">
      <c r="A336" s="90" t="s">
        <v>48</v>
      </c>
      <c r="B336" s="91"/>
      <c r="C336" s="91"/>
      <c r="D336" s="91"/>
      <c r="E336" s="91"/>
      <c r="F336" s="91"/>
      <c r="G336" s="91"/>
      <c r="H336" s="91"/>
      <c r="I336" s="64">
        <v>30328</v>
      </c>
      <c r="J336" s="62"/>
      <c r="K336" s="62"/>
      <c r="L336" s="62"/>
      <c r="M336" s="62"/>
      <c r="N336" s="62" t="s">
        <v>44</v>
      </c>
      <c r="O336" s="9"/>
      <c r="P336" s="10"/>
      <c r="Q336" s="9"/>
      <c r="R336" s="9"/>
      <c r="S336" s="9"/>
    </row>
    <row r="337" spans="1:35" ht="34.200000000000003" x14ac:dyDescent="0.25">
      <c r="A337" s="90" t="s">
        <v>217</v>
      </c>
      <c r="B337" s="91"/>
      <c r="C337" s="91"/>
      <c r="D337" s="91"/>
      <c r="E337" s="91"/>
      <c r="F337" s="91"/>
      <c r="G337" s="91"/>
      <c r="H337" s="91"/>
      <c r="I337" s="64">
        <v>31506</v>
      </c>
      <c r="J337" s="62"/>
      <c r="K337" s="62"/>
      <c r="L337" s="62"/>
      <c r="M337" s="62"/>
      <c r="N337" s="62" t="s">
        <v>44</v>
      </c>
      <c r="O337" s="9"/>
      <c r="P337" s="10"/>
      <c r="Q337" s="9"/>
      <c r="R337" s="9"/>
      <c r="S337" s="9"/>
    </row>
    <row r="338" spans="1:35" x14ac:dyDescent="0.25">
      <c r="A338" s="90" t="s">
        <v>218</v>
      </c>
      <c r="B338" s="91"/>
      <c r="C338" s="91"/>
      <c r="D338" s="91"/>
      <c r="E338" s="91"/>
      <c r="F338" s="91"/>
      <c r="G338" s="91"/>
      <c r="H338" s="91"/>
      <c r="I338" s="64"/>
      <c r="J338" s="62"/>
      <c r="K338" s="62"/>
      <c r="L338" s="62"/>
      <c r="M338" s="62"/>
      <c r="N338" s="62"/>
      <c r="O338" s="9"/>
      <c r="P338" s="10"/>
      <c r="Q338" s="9"/>
      <c r="R338" s="9"/>
      <c r="S338" s="9"/>
    </row>
    <row r="339" spans="1:35" x14ac:dyDescent="0.25">
      <c r="A339" s="90" t="s">
        <v>412</v>
      </c>
      <c r="B339" s="91"/>
      <c r="C339" s="91"/>
      <c r="D339" s="91"/>
      <c r="E339" s="91"/>
      <c r="F339" s="91"/>
      <c r="G339" s="91"/>
      <c r="H339" s="91"/>
      <c r="I339" s="64">
        <v>6382</v>
      </c>
      <c r="J339" s="62"/>
      <c r="K339" s="62"/>
      <c r="L339" s="62"/>
      <c r="M339" s="62"/>
      <c r="N339" s="62"/>
      <c r="O339" s="9"/>
      <c r="P339" s="10"/>
      <c r="Q339" s="9"/>
      <c r="R339" s="9"/>
      <c r="S339" s="9"/>
    </row>
    <row r="340" spans="1:35" x14ac:dyDescent="0.25">
      <c r="A340" s="90" t="s">
        <v>219</v>
      </c>
      <c r="B340" s="91"/>
      <c r="C340" s="91"/>
      <c r="D340" s="91"/>
      <c r="E340" s="91"/>
      <c r="F340" s="91"/>
      <c r="G340" s="91"/>
      <c r="H340" s="91"/>
      <c r="I340" s="64">
        <v>1756</v>
      </c>
      <c r="J340" s="62"/>
      <c r="K340" s="62"/>
      <c r="L340" s="62"/>
      <c r="M340" s="62"/>
      <c r="N340" s="62"/>
      <c r="O340" s="9"/>
      <c r="P340" s="10"/>
      <c r="Q340" s="9"/>
      <c r="R340" s="9"/>
      <c r="S340" s="9"/>
    </row>
    <row r="341" spans="1:35" x14ac:dyDescent="0.25">
      <c r="A341" s="90" t="s">
        <v>220</v>
      </c>
      <c r="B341" s="91"/>
      <c r="C341" s="91"/>
      <c r="D341" s="91"/>
      <c r="E341" s="91"/>
      <c r="F341" s="91"/>
      <c r="G341" s="91"/>
      <c r="H341" s="91"/>
      <c r="I341" s="64">
        <v>10097</v>
      </c>
      <c r="J341" s="62"/>
      <c r="K341" s="62"/>
      <c r="L341" s="62"/>
      <c r="M341" s="62"/>
      <c r="N341" s="62"/>
      <c r="O341" s="9"/>
      <c r="P341" s="10"/>
      <c r="Q341" s="9"/>
      <c r="R341" s="9"/>
      <c r="S341" s="9"/>
    </row>
    <row r="342" spans="1:35" x14ac:dyDescent="0.25">
      <c r="A342" s="90" t="s">
        <v>221</v>
      </c>
      <c r="B342" s="91"/>
      <c r="C342" s="91"/>
      <c r="D342" s="91"/>
      <c r="E342" s="91"/>
      <c r="F342" s="91"/>
      <c r="G342" s="91"/>
      <c r="H342" s="91"/>
      <c r="I342" s="64">
        <v>8144</v>
      </c>
      <c r="J342" s="62"/>
      <c r="K342" s="62"/>
      <c r="L342" s="62"/>
      <c r="M342" s="62"/>
      <c r="N342" s="62"/>
      <c r="O342" s="9"/>
      <c r="P342" s="10"/>
      <c r="Q342" s="9"/>
      <c r="R342" s="9"/>
      <c r="S342" s="9"/>
    </row>
    <row r="343" spans="1:35" x14ac:dyDescent="0.25">
      <c r="A343" s="90" t="s">
        <v>222</v>
      </c>
      <c r="B343" s="91"/>
      <c r="C343" s="91"/>
      <c r="D343" s="91"/>
      <c r="E343" s="91"/>
      <c r="F343" s="91"/>
      <c r="G343" s="91"/>
      <c r="H343" s="91"/>
      <c r="I343" s="64">
        <v>5239</v>
      </c>
      <c r="J343" s="62"/>
      <c r="K343" s="62"/>
      <c r="L343" s="62"/>
      <c r="M343" s="62"/>
      <c r="N343" s="62"/>
      <c r="O343" s="9"/>
      <c r="P343" s="10"/>
      <c r="Q343" s="9"/>
      <c r="R343" s="9"/>
      <c r="S343" s="9"/>
    </row>
    <row r="344" spans="1:35" ht="34.200000000000003" x14ac:dyDescent="0.25">
      <c r="A344" s="111" t="s">
        <v>49</v>
      </c>
      <c r="B344" s="112"/>
      <c r="C344" s="112"/>
      <c r="D344" s="112"/>
      <c r="E344" s="112"/>
      <c r="F344" s="112"/>
      <c r="G344" s="112"/>
      <c r="H344" s="112"/>
      <c r="I344" s="77">
        <v>31506</v>
      </c>
      <c r="J344" s="78"/>
      <c r="K344" s="78"/>
      <c r="L344" s="78"/>
      <c r="M344" s="78"/>
      <c r="N344" s="78" t="s">
        <v>44</v>
      </c>
      <c r="O344" s="9"/>
      <c r="P344" s="10"/>
      <c r="Q344" s="9"/>
      <c r="R344" s="9"/>
      <c r="S344" s="9"/>
    </row>
    <row r="345" spans="1:35" ht="18.45" customHeight="1" x14ac:dyDescent="0.25">
      <c r="A345" s="93" t="s">
        <v>50</v>
      </c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</row>
    <row r="346" spans="1:35" ht="91.2" x14ac:dyDescent="0.25">
      <c r="A346" s="68">
        <v>135</v>
      </c>
      <c r="B346" s="69" t="s">
        <v>51</v>
      </c>
      <c r="C346" s="70" t="str">
        <f ca="1">INDIRECT("AF"&amp;ROW())&amp;CHAR(10)&amp;"-----------------------------------------------------------------------"&amp;CHAR(10)&amp;INDIRECT("AG"&amp;ROW())&amp;IF(INDIRECT("AE"&amp;ROW())="", "", CHAR(10)&amp;"-----------------------------------------------------------------------"&amp;INDIRECT("AE"&amp;ROW()))&amp;IF(INDIRECT("AC"&amp;ROW())="", "", CHAR(10)&amp;"-----------------------------------------------------------------------"&amp;INDIRECT("AC"&amp;ROW())&amp;" руб. "&amp;INDIRECT("AA"&amp;ROW())&amp;" ("&amp;INDIRECT("AI"&amp;ROW())&amp;" руб.)")&amp;IF(INDIRECT("AD"&amp;ROW())="", "", CHAR(10)&amp;INDIRECT("AD"&amp;ROW())&amp;" руб. "&amp;INDIRECT("AB"&amp;ROW())&amp;" ("&amp;INDIRECT("AI"&amp;ROW())&amp;" руб.)")&amp;CHAR(10)</f>
        <v xml:space="preserve">Установка стоек для радиотрансляционных сетей одинарных на напряжение: до 240 В
-----------------------------------------------------------------------
1 стойка
-----------------------------------------------------------------------2302 руб. НР 77%=100%*(0.9*0.85) от ФОТ (2989 руб.)
1315 руб. СП 44%=65%*(0.85*0.8) от ФОТ (2989 руб.)
</v>
      </c>
      <c r="D346" s="71">
        <v>3</v>
      </c>
      <c r="E346" s="72" t="s">
        <v>52</v>
      </c>
      <c r="F346" s="72"/>
      <c r="G346" s="72" t="s">
        <v>53</v>
      </c>
      <c r="H346" s="73" t="s">
        <v>172</v>
      </c>
      <c r="I346" s="74">
        <v>11109</v>
      </c>
      <c r="J346" s="72">
        <v>2989</v>
      </c>
      <c r="K346" s="72"/>
      <c r="L346" s="72" t="str">
        <f>IF(3*336.54=0," ",TEXT(,ROUND((3*336.54*8.04),0)))</f>
        <v>8117</v>
      </c>
      <c r="M346" s="72"/>
      <c r="N346" s="72"/>
      <c r="O346" s="65"/>
      <c r="P346" s="65"/>
      <c r="Q346" s="65"/>
      <c r="R346" s="65"/>
      <c r="S346" s="65"/>
      <c r="T346" s="66"/>
      <c r="U346" s="66"/>
      <c r="V346" s="66"/>
      <c r="W346" s="66"/>
      <c r="X346" s="66"/>
      <c r="Y346" s="66"/>
      <c r="Z346" s="66"/>
      <c r="AA346" s="66" t="s">
        <v>173</v>
      </c>
      <c r="AB346" s="66" t="s">
        <v>174</v>
      </c>
      <c r="AC346" s="66">
        <v>2302</v>
      </c>
      <c r="AD346" s="66">
        <v>1315</v>
      </c>
      <c r="AE346" s="66"/>
      <c r="AF346" s="66" t="s">
        <v>54</v>
      </c>
      <c r="AG346" s="66" t="s">
        <v>177</v>
      </c>
      <c r="AH346" s="66"/>
      <c r="AI346" s="66">
        <f>2989+0</f>
        <v>2989</v>
      </c>
    </row>
    <row r="347" spans="1:35" x14ac:dyDescent="0.25">
      <c r="A347" s="90" t="s">
        <v>199</v>
      </c>
      <c r="B347" s="91"/>
      <c r="C347" s="91"/>
      <c r="D347" s="91"/>
      <c r="E347" s="91"/>
      <c r="F347" s="91"/>
      <c r="G347" s="91"/>
      <c r="H347" s="91"/>
      <c r="I347" s="64">
        <v>1198</v>
      </c>
      <c r="J347" s="62">
        <v>188</v>
      </c>
      <c r="K347" s="62"/>
      <c r="L347" s="62">
        <v>1010</v>
      </c>
      <c r="M347" s="62"/>
      <c r="N347" s="62"/>
      <c r="O347" s="9"/>
      <c r="P347" s="10"/>
      <c r="Q347" s="9"/>
      <c r="R347" s="9"/>
      <c r="S347" s="9"/>
    </row>
    <row r="348" spans="1:35" x14ac:dyDescent="0.25">
      <c r="A348" s="90" t="s">
        <v>202</v>
      </c>
      <c r="B348" s="91"/>
      <c r="C348" s="91"/>
      <c r="D348" s="91"/>
      <c r="E348" s="91"/>
      <c r="F348" s="91"/>
      <c r="G348" s="91"/>
      <c r="H348" s="91"/>
      <c r="I348" s="64">
        <v>11109</v>
      </c>
      <c r="J348" s="62">
        <v>2989</v>
      </c>
      <c r="K348" s="62"/>
      <c r="L348" s="62">
        <v>8120</v>
      </c>
      <c r="M348" s="62"/>
      <c r="N348" s="62"/>
      <c r="O348" s="9"/>
      <c r="P348" s="10"/>
      <c r="Q348" s="9"/>
      <c r="R348" s="9"/>
      <c r="S348" s="9"/>
    </row>
    <row r="349" spans="1:35" x14ac:dyDescent="0.25">
      <c r="A349" s="90" t="s">
        <v>204</v>
      </c>
      <c r="B349" s="91"/>
      <c r="C349" s="91"/>
      <c r="D349" s="91"/>
      <c r="E349" s="91"/>
      <c r="F349" s="91"/>
      <c r="G349" s="91"/>
      <c r="H349" s="91"/>
      <c r="I349" s="64">
        <v>2302</v>
      </c>
      <c r="J349" s="62"/>
      <c r="K349" s="62"/>
      <c r="L349" s="62"/>
      <c r="M349" s="62"/>
      <c r="N349" s="62"/>
      <c r="O349" s="9"/>
      <c r="P349" s="10"/>
      <c r="Q349" s="9"/>
      <c r="R349" s="9"/>
      <c r="S349" s="9"/>
    </row>
    <row r="350" spans="1:35" x14ac:dyDescent="0.25">
      <c r="A350" s="90" t="s">
        <v>205</v>
      </c>
      <c r="B350" s="91"/>
      <c r="C350" s="91"/>
      <c r="D350" s="91"/>
      <c r="E350" s="91"/>
      <c r="F350" s="91"/>
      <c r="G350" s="91"/>
      <c r="H350" s="91"/>
      <c r="I350" s="64">
        <v>1315</v>
      </c>
      <c r="J350" s="62"/>
      <c r="K350" s="62"/>
      <c r="L350" s="62"/>
      <c r="M350" s="62"/>
      <c r="N350" s="62"/>
      <c r="O350" s="9"/>
      <c r="P350" s="10"/>
      <c r="Q350" s="9"/>
      <c r="R350" s="9"/>
      <c r="S350" s="9"/>
    </row>
    <row r="351" spans="1:35" x14ac:dyDescent="0.25">
      <c r="A351" s="93" t="s">
        <v>55</v>
      </c>
      <c r="B351" s="94"/>
      <c r="C351" s="94"/>
      <c r="D351" s="94"/>
      <c r="E351" s="94"/>
      <c r="F351" s="94"/>
      <c r="G351" s="94"/>
      <c r="H351" s="94"/>
      <c r="I351" s="75"/>
      <c r="J351" s="76"/>
      <c r="K351" s="76"/>
      <c r="L351" s="76"/>
      <c r="M351" s="62"/>
      <c r="N351" s="62"/>
      <c r="O351" s="9"/>
      <c r="P351" s="10"/>
      <c r="Q351" s="9"/>
      <c r="R351" s="9"/>
      <c r="S351" s="9"/>
    </row>
    <row r="352" spans="1:35" x14ac:dyDescent="0.25">
      <c r="A352" s="90" t="s">
        <v>213</v>
      </c>
      <c r="B352" s="91"/>
      <c r="C352" s="91"/>
      <c r="D352" s="91"/>
      <c r="E352" s="91"/>
      <c r="F352" s="91"/>
      <c r="G352" s="91"/>
      <c r="H352" s="91"/>
      <c r="I352" s="64">
        <v>14726</v>
      </c>
      <c r="J352" s="62"/>
      <c r="K352" s="62"/>
      <c r="L352" s="62"/>
      <c r="M352" s="62"/>
      <c r="N352" s="62"/>
      <c r="O352" s="9"/>
      <c r="P352" s="10"/>
      <c r="Q352" s="9"/>
      <c r="R352" s="9"/>
      <c r="S352" s="9"/>
    </row>
    <row r="353" spans="1:19" x14ac:dyDescent="0.25">
      <c r="A353" s="90" t="s">
        <v>217</v>
      </c>
      <c r="B353" s="91"/>
      <c r="C353" s="91"/>
      <c r="D353" s="91"/>
      <c r="E353" s="91"/>
      <c r="F353" s="91"/>
      <c r="G353" s="91"/>
      <c r="H353" s="91"/>
      <c r="I353" s="64">
        <v>14726</v>
      </c>
      <c r="J353" s="62"/>
      <c r="K353" s="62"/>
      <c r="L353" s="62"/>
      <c r="M353" s="62"/>
      <c r="N353" s="62"/>
      <c r="O353" s="9"/>
      <c r="P353" s="10"/>
      <c r="Q353" s="9"/>
      <c r="R353" s="9"/>
      <c r="S353" s="9"/>
    </row>
    <row r="354" spans="1:19" x14ac:dyDescent="0.25">
      <c r="A354" s="90" t="s">
        <v>218</v>
      </c>
      <c r="B354" s="91"/>
      <c r="C354" s="91"/>
      <c r="D354" s="91"/>
      <c r="E354" s="91"/>
      <c r="F354" s="91"/>
      <c r="G354" s="91"/>
      <c r="H354" s="91"/>
      <c r="I354" s="64"/>
      <c r="J354" s="62"/>
      <c r="K354" s="62"/>
      <c r="L354" s="62"/>
      <c r="M354" s="62"/>
      <c r="N354" s="62"/>
      <c r="O354" s="9"/>
      <c r="P354" s="10"/>
      <c r="Q354" s="9"/>
      <c r="R354" s="9"/>
      <c r="S354" s="9"/>
    </row>
    <row r="355" spans="1:19" x14ac:dyDescent="0.25">
      <c r="A355" s="90" t="s">
        <v>412</v>
      </c>
      <c r="B355" s="91"/>
      <c r="C355" s="91"/>
      <c r="D355" s="91"/>
      <c r="E355" s="91"/>
      <c r="F355" s="91"/>
      <c r="G355" s="91"/>
      <c r="H355" s="91"/>
      <c r="I355" s="64">
        <v>8120</v>
      </c>
      <c r="J355" s="62"/>
      <c r="K355" s="62"/>
      <c r="L355" s="62"/>
      <c r="M355" s="62"/>
      <c r="N355" s="62"/>
      <c r="O355" s="9"/>
      <c r="P355" s="10"/>
      <c r="Q355" s="9"/>
      <c r="R355" s="9"/>
      <c r="S355" s="9"/>
    </row>
    <row r="356" spans="1:19" x14ac:dyDescent="0.25">
      <c r="A356" s="90" t="s">
        <v>220</v>
      </c>
      <c r="B356" s="91"/>
      <c r="C356" s="91"/>
      <c r="D356" s="91"/>
      <c r="E356" s="91"/>
      <c r="F356" s="91"/>
      <c r="G356" s="91"/>
      <c r="H356" s="91"/>
      <c r="I356" s="64">
        <v>2989</v>
      </c>
      <c r="J356" s="62"/>
      <c r="K356" s="62"/>
      <c r="L356" s="62"/>
      <c r="M356" s="62"/>
      <c r="N356" s="62"/>
      <c r="O356" s="9"/>
      <c r="P356" s="10"/>
      <c r="Q356" s="9"/>
      <c r="R356" s="9"/>
      <c r="S356" s="9"/>
    </row>
    <row r="357" spans="1:19" x14ac:dyDescent="0.25">
      <c r="A357" s="90" t="s">
        <v>221</v>
      </c>
      <c r="B357" s="91"/>
      <c r="C357" s="91"/>
      <c r="D357" s="91"/>
      <c r="E357" s="91"/>
      <c r="F357" s="91"/>
      <c r="G357" s="91"/>
      <c r="H357" s="91"/>
      <c r="I357" s="64">
        <v>2302</v>
      </c>
      <c r="J357" s="62"/>
      <c r="K357" s="62"/>
      <c r="L357" s="62"/>
      <c r="M357" s="62"/>
      <c r="N357" s="62"/>
      <c r="O357" s="9"/>
      <c r="P357" s="10"/>
      <c r="Q357" s="9"/>
      <c r="R357" s="9"/>
      <c r="S357" s="9"/>
    </row>
    <row r="358" spans="1:19" x14ac:dyDescent="0.25">
      <c r="A358" s="90" t="s">
        <v>222</v>
      </c>
      <c r="B358" s="91"/>
      <c r="C358" s="91"/>
      <c r="D358" s="91"/>
      <c r="E358" s="91"/>
      <c r="F358" s="91"/>
      <c r="G358" s="91"/>
      <c r="H358" s="91"/>
      <c r="I358" s="64">
        <v>1315</v>
      </c>
      <c r="J358" s="62"/>
      <c r="K358" s="62"/>
      <c r="L358" s="62"/>
      <c r="M358" s="62"/>
      <c r="N358" s="62"/>
      <c r="O358" s="9"/>
      <c r="P358" s="10"/>
      <c r="Q358" s="9"/>
      <c r="R358" s="9"/>
      <c r="S358" s="9"/>
    </row>
    <row r="359" spans="1:19" x14ac:dyDescent="0.25">
      <c r="A359" s="111" t="s">
        <v>56</v>
      </c>
      <c r="B359" s="112"/>
      <c r="C359" s="112"/>
      <c r="D359" s="112"/>
      <c r="E359" s="112"/>
      <c r="F359" s="112"/>
      <c r="G359" s="112"/>
      <c r="H359" s="112"/>
      <c r="I359" s="77">
        <v>14726</v>
      </c>
      <c r="J359" s="78"/>
      <c r="K359" s="78"/>
      <c r="L359" s="78"/>
      <c r="M359" s="72"/>
      <c r="N359" s="72"/>
      <c r="O359" s="9"/>
      <c r="P359" s="10"/>
      <c r="Q359" s="9"/>
      <c r="R359" s="9"/>
      <c r="S359" s="9"/>
    </row>
    <row r="360" spans="1:19" ht="34.200000000000003" x14ac:dyDescent="0.25">
      <c r="A360" s="115" t="s">
        <v>57</v>
      </c>
      <c r="B360" s="91"/>
      <c r="C360" s="91"/>
      <c r="D360" s="91"/>
      <c r="E360" s="91"/>
      <c r="F360" s="91"/>
      <c r="G360" s="91"/>
      <c r="H360" s="91"/>
      <c r="I360" s="80">
        <v>333793</v>
      </c>
      <c r="J360" s="80">
        <v>31013</v>
      </c>
      <c r="K360" s="80" t="s">
        <v>58</v>
      </c>
      <c r="L360" s="80">
        <v>292259</v>
      </c>
      <c r="M360" s="80"/>
      <c r="N360" s="80" t="s">
        <v>59</v>
      </c>
      <c r="O360" s="9"/>
      <c r="P360" s="10"/>
      <c r="Q360" s="9"/>
      <c r="R360" s="9"/>
      <c r="S360" s="9"/>
    </row>
    <row r="361" spans="1:19" ht="34.200000000000003" x14ac:dyDescent="0.25">
      <c r="A361" s="115" t="s">
        <v>60</v>
      </c>
      <c r="B361" s="91"/>
      <c r="C361" s="91"/>
      <c r="D361" s="91"/>
      <c r="E361" s="91"/>
      <c r="F361" s="91"/>
      <c r="G361" s="91"/>
      <c r="H361" s="91"/>
      <c r="I361" s="80">
        <v>2075935</v>
      </c>
      <c r="J361" s="80">
        <v>493111</v>
      </c>
      <c r="K361" s="80" t="s">
        <v>61</v>
      </c>
      <c r="L361" s="80">
        <v>1468809</v>
      </c>
      <c r="M361" s="80"/>
      <c r="N361" s="80" t="s">
        <v>59</v>
      </c>
      <c r="O361" s="9"/>
      <c r="P361" s="10"/>
      <c r="Q361" s="9"/>
      <c r="R361" s="9"/>
      <c r="S361" s="9"/>
    </row>
    <row r="362" spans="1:19" x14ac:dyDescent="0.25">
      <c r="A362" s="115" t="s">
        <v>204</v>
      </c>
      <c r="B362" s="91"/>
      <c r="C362" s="91"/>
      <c r="D362" s="91"/>
      <c r="E362" s="91"/>
      <c r="F362" s="91"/>
      <c r="G362" s="91"/>
      <c r="H362" s="91"/>
      <c r="I362" s="80">
        <v>426775</v>
      </c>
      <c r="J362" s="80"/>
      <c r="K362" s="80"/>
      <c r="L362" s="80"/>
      <c r="M362" s="80"/>
      <c r="N362" s="80"/>
      <c r="O362" s="9"/>
      <c r="P362" s="10"/>
      <c r="Q362" s="9"/>
      <c r="R362" s="9"/>
      <c r="S362" s="9"/>
    </row>
    <row r="363" spans="1:19" x14ac:dyDescent="0.25">
      <c r="A363" s="115" t="s">
        <v>205</v>
      </c>
      <c r="B363" s="91"/>
      <c r="C363" s="91"/>
      <c r="D363" s="91"/>
      <c r="E363" s="91"/>
      <c r="F363" s="91"/>
      <c r="G363" s="91"/>
      <c r="H363" s="91"/>
      <c r="I363" s="80">
        <v>230267</v>
      </c>
      <c r="J363" s="80"/>
      <c r="K363" s="80"/>
      <c r="L363" s="80"/>
      <c r="M363" s="80"/>
      <c r="N363" s="80"/>
      <c r="O363" s="9"/>
      <c r="P363" s="10"/>
      <c r="Q363" s="9"/>
      <c r="R363" s="9"/>
      <c r="S363" s="9"/>
    </row>
    <row r="364" spans="1:19" x14ac:dyDescent="0.25">
      <c r="A364" s="116" t="s">
        <v>62</v>
      </c>
      <c r="B364" s="94"/>
      <c r="C364" s="94"/>
      <c r="D364" s="94"/>
      <c r="E364" s="94"/>
      <c r="F364" s="94"/>
      <c r="G364" s="94"/>
      <c r="H364" s="94"/>
      <c r="I364" s="81"/>
      <c r="J364" s="81"/>
      <c r="K364" s="81"/>
      <c r="L364" s="81"/>
      <c r="M364" s="81"/>
      <c r="N364" s="81"/>
      <c r="O364" s="9"/>
      <c r="P364" s="10"/>
      <c r="Q364" s="9"/>
      <c r="R364" s="9"/>
      <c r="S364" s="9"/>
    </row>
    <row r="365" spans="1:19" ht="34.200000000000003" x14ac:dyDescent="0.25">
      <c r="A365" s="115" t="s">
        <v>47</v>
      </c>
      <c r="B365" s="91"/>
      <c r="C365" s="91"/>
      <c r="D365" s="91"/>
      <c r="E365" s="91"/>
      <c r="F365" s="91"/>
      <c r="G365" s="91"/>
      <c r="H365" s="91"/>
      <c r="I365" s="80">
        <v>2702649</v>
      </c>
      <c r="J365" s="80"/>
      <c r="K365" s="80"/>
      <c r="L365" s="80"/>
      <c r="M365" s="80"/>
      <c r="N365" s="80" t="s">
        <v>63</v>
      </c>
      <c r="O365" s="9"/>
      <c r="P365" s="10"/>
      <c r="Q365" s="9"/>
      <c r="R365" s="9"/>
      <c r="S365" s="9"/>
    </row>
    <row r="366" spans="1:19" ht="34.200000000000003" x14ac:dyDescent="0.25">
      <c r="A366" s="115" t="s">
        <v>48</v>
      </c>
      <c r="B366" s="91"/>
      <c r="C366" s="91"/>
      <c r="D366" s="91"/>
      <c r="E366" s="91"/>
      <c r="F366" s="91"/>
      <c r="G366" s="91"/>
      <c r="H366" s="91"/>
      <c r="I366" s="80">
        <v>30328</v>
      </c>
      <c r="J366" s="80"/>
      <c r="K366" s="80"/>
      <c r="L366" s="80"/>
      <c r="M366" s="80"/>
      <c r="N366" s="80" t="s">
        <v>44</v>
      </c>
      <c r="O366" s="9"/>
      <c r="P366" s="10"/>
      <c r="Q366" s="9"/>
      <c r="R366" s="9"/>
      <c r="S366" s="9"/>
    </row>
    <row r="367" spans="1:19" ht="34.200000000000003" x14ac:dyDescent="0.25">
      <c r="A367" s="115" t="s">
        <v>217</v>
      </c>
      <c r="B367" s="91"/>
      <c r="C367" s="91"/>
      <c r="D367" s="91"/>
      <c r="E367" s="91"/>
      <c r="F367" s="91"/>
      <c r="G367" s="91"/>
      <c r="H367" s="91"/>
      <c r="I367" s="80">
        <v>2732977</v>
      </c>
      <c r="J367" s="80"/>
      <c r="K367" s="80"/>
      <c r="L367" s="80"/>
      <c r="M367" s="80"/>
      <c r="N367" s="80" t="s">
        <v>59</v>
      </c>
      <c r="O367" s="9"/>
      <c r="P367" s="10"/>
      <c r="Q367" s="9"/>
      <c r="R367" s="9"/>
      <c r="S367" s="9"/>
    </row>
    <row r="368" spans="1:19" x14ac:dyDescent="0.25">
      <c r="A368" s="115" t="s">
        <v>218</v>
      </c>
      <c r="B368" s="91"/>
      <c r="C368" s="91"/>
      <c r="D368" s="91"/>
      <c r="E368" s="91"/>
      <c r="F368" s="91"/>
      <c r="G368" s="91"/>
      <c r="H368" s="91"/>
      <c r="I368" s="80"/>
      <c r="J368" s="80"/>
      <c r="K368" s="80"/>
      <c r="L368" s="80"/>
      <c r="M368" s="80"/>
      <c r="N368" s="80"/>
      <c r="O368" s="9"/>
      <c r="P368" s="10"/>
      <c r="Q368" s="9"/>
      <c r="R368" s="9"/>
      <c r="S368" s="9"/>
    </row>
    <row r="369" spans="1:19" x14ac:dyDescent="0.25">
      <c r="A369" s="115" t="s">
        <v>412</v>
      </c>
      <c r="B369" s="91"/>
      <c r="C369" s="91"/>
      <c r="D369" s="91"/>
      <c r="E369" s="91"/>
      <c r="F369" s="91"/>
      <c r="G369" s="91"/>
      <c r="H369" s="91"/>
      <c r="I369" s="80">
        <v>1468809</v>
      </c>
      <c r="J369" s="80"/>
      <c r="K369" s="80"/>
      <c r="L369" s="80"/>
      <c r="M369" s="80"/>
      <c r="N369" s="80"/>
      <c r="O369" s="9"/>
      <c r="P369" s="10"/>
      <c r="Q369" s="9"/>
      <c r="R369" s="9"/>
      <c r="S369" s="9"/>
    </row>
    <row r="370" spans="1:19" x14ac:dyDescent="0.25">
      <c r="A370" s="115" t="s">
        <v>219</v>
      </c>
      <c r="B370" s="91"/>
      <c r="C370" s="91"/>
      <c r="D370" s="91"/>
      <c r="E370" s="91"/>
      <c r="F370" s="91"/>
      <c r="G370" s="91"/>
      <c r="H370" s="91"/>
      <c r="I370" s="80">
        <v>114015</v>
      </c>
      <c r="J370" s="80"/>
      <c r="K370" s="80"/>
      <c r="L370" s="80"/>
      <c r="M370" s="80"/>
      <c r="N370" s="80"/>
      <c r="O370" s="9"/>
      <c r="P370" s="10"/>
      <c r="Q370" s="9"/>
      <c r="R370" s="9"/>
      <c r="S370" s="9"/>
    </row>
    <row r="371" spans="1:19" x14ac:dyDescent="0.25">
      <c r="A371" s="115" t="s">
        <v>220</v>
      </c>
      <c r="B371" s="91"/>
      <c r="C371" s="91"/>
      <c r="D371" s="91"/>
      <c r="E371" s="91"/>
      <c r="F371" s="91"/>
      <c r="G371" s="91"/>
      <c r="H371" s="91"/>
      <c r="I371" s="80">
        <v>502001</v>
      </c>
      <c r="J371" s="80"/>
      <c r="K371" s="80"/>
      <c r="L371" s="80"/>
      <c r="M371" s="80"/>
      <c r="N371" s="80"/>
      <c r="O371" s="9"/>
      <c r="P371" s="10"/>
      <c r="Q371" s="9"/>
      <c r="R371" s="9"/>
      <c r="S371" s="9"/>
    </row>
    <row r="372" spans="1:19" x14ac:dyDescent="0.25">
      <c r="A372" s="115" t="s">
        <v>221</v>
      </c>
      <c r="B372" s="91"/>
      <c r="C372" s="91"/>
      <c r="D372" s="91"/>
      <c r="E372" s="91"/>
      <c r="F372" s="91"/>
      <c r="G372" s="91"/>
      <c r="H372" s="91"/>
      <c r="I372" s="80">
        <v>426775</v>
      </c>
      <c r="J372" s="80"/>
      <c r="K372" s="80"/>
      <c r="L372" s="80"/>
      <c r="M372" s="80"/>
      <c r="N372" s="80"/>
      <c r="O372" s="9"/>
      <c r="P372" s="10"/>
      <c r="Q372" s="9"/>
      <c r="R372" s="9"/>
      <c r="S372" s="9"/>
    </row>
    <row r="373" spans="1:19" x14ac:dyDescent="0.25">
      <c r="A373" s="115" t="s">
        <v>222</v>
      </c>
      <c r="B373" s="91"/>
      <c r="C373" s="91"/>
      <c r="D373" s="91"/>
      <c r="E373" s="91"/>
      <c r="F373" s="91"/>
      <c r="G373" s="91"/>
      <c r="H373" s="91"/>
      <c r="I373" s="80">
        <v>230267</v>
      </c>
      <c r="J373" s="80"/>
      <c r="K373" s="80"/>
      <c r="L373" s="80"/>
      <c r="M373" s="80"/>
      <c r="N373" s="80"/>
      <c r="O373" s="9"/>
      <c r="P373" s="10"/>
      <c r="Q373" s="9"/>
      <c r="R373" s="9"/>
      <c r="S373" s="9"/>
    </row>
    <row r="374" spans="1:19" ht="34.200000000000003" x14ac:dyDescent="0.25">
      <c r="A374" s="116" t="s">
        <v>64</v>
      </c>
      <c r="B374" s="94"/>
      <c r="C374" s="94"/>
      <c r="D374" s="94"/>
      <c r="E374" s="94"/>
      <c r="F374" s="94"/>
      <c r="G374" s="94"/>
      <c r="H374" s="94"/>
      <c r="I374" s="81">
        <v>2732977</v>
      </c>
      <c r="J374" s="81"/>
      <c r="K374" s="81"/>
      <c r="L374" s="81"/>
      <c r="M374" s="81"/>
      <c r="N374" s="81" t="s">
        <v>59</v>
      </c>
      <c r="O374" s="9"/>
      <c r="P374" s="10"/>
      <c r="Q374" s="9"/>
      <c r="R374" s="9"/>
      <c r="S374" s="9"/>
    </row>
    <row r="375" spans="1:19" x14ac:dyDescent="0.25">
      <c r="A375" s="34"/>
      <c r="B375" s="37"/>
      <c r="C375" s="37"/>
      <c r="D375" s="34"/>
      <c r="E375" s="35"/>
      <c r="F375" s="35"/>
      <c r="G375" s="35"/>
      <c r="H375" s="35"/>
      <c r="I375" s="36"/>
      <c r="J375" s="35"/>
      <c r="K375" s="35"/>
      <c r="L375" s="35"/>
      <c r="M375" s="35"/>
      <c r="N375" s="38"/>
      <c r="O375" s="7"/>
      <c r="P375" s="7"/>
      <c r="Q375" s="7"/>
      <c r="R375" s="7"/>
      <c r="S375" s="7"/>
    </row>
    <row r="376" spans="1:19" x14ac:dyDescent="0.25">
      <c r="A376" s="34"/>
      <c r="B376" s="37"/>
      <c r="C376" s="37"/>
      <c r="D376" s="34"/>
      <c r="E376" s="35"/>
      <c r="F376" s="35"/>
      <c r="G376" s="35"/>
      <c r="H376" s="35"/>
      <c r="I376" s="36"/>
      <c r="J376" s="35"/>
      <c r="K376" s="35"/>
      <c r="L376" s="35"/>
      <c r="M376" s="35"/>
      <c r="N376" s="38"/>
    </row>
    <row r="377" spans="1:19" x14ac:dyDescent="0.25">
      <c r="A377" s="34"/>
      <c r="B377" s="37"/>
      <c r="C377" s="39" t="s">
        <v>99</v>
      </c>
      <c r="D377" s="34"/>
      <c r="E377" s="35"/>
      <c r="F377" s="39" t="s">
        <v>100</v>
      </c>
      <c r="G377" s="39"/>
      <c r="H377" s="39"/>
      <c r="I377" s="35"/>
      <c r="J377" s="35"/>
      <c r="K377" s="35"/>
      <c r="L377" s="35"/>
      <c r="M377" s="35"/>
      <c r="N377" s="38"/>
    </row>
    <row r="378" spans="1:19" x14ac:dyDescent="0.25">
      <c r="A378" s="40"/>
      <c r="B378" s="40"/>
      <c r="C378" s="40"/>
      <c r="D378" s="40"/>
      <c r="E378" s="41"/>
      <c r="F378" s="41"/>
      <c r="G378" s="41"/>
      <c r="H378" s="41"/>
      <c r="I378" s="41"/>
      <c r="J378" s="41"/>
      <c r="K378" s="41"/>
      <c r="L378" s="41"/>
      <c r="M378" s="41"/>
      <c r="N378" s="38"/>
    </row>
    <row r="379" spans="1:19" x14ac:dyDescent="0.25">
      <c r="A379" s="40"/>
      <c r="B379" s="40"/>
      <c r="C379" s="40"/>
      <c r="D379" s="40"/>
      <c r="E379" s="41"/>
      <c r="F379" s="41"/>
      <c r="G379" s="41"/>
      <c r="H379" s="41"/>
      <c r="I379" s="41"/>
      <c r="J379" s="41"/>
      <c r="K379" s="41"/>
      <c r="L379" s="41"/>
      <c r="M379" s="41"/>
      <c r="N379" s="38"/>
    </row>
    <row r="381" spans="1:19" x14ac:dyDescent="0.25">
      <c r="B381" s="6"/>
    </row>
  </sheetData>
  <mergeCells count="241">
    <mergeCell ref="A371:H371"/>
    <mergeCell ref="A372:H372"/>
    <mergeCell ref="A373:H373"/>
    <mergeCell ref="A374:H374"/>
    <mergeCell ref="A363:H363"/>
    <mergeCell ref="A364:H364"/>
    <mergeCell ref="A369:H369"/>
    <mergeCell ref="A370:H370"/>
    <mergeCell ref="A365:H365"/>
    <mergeCell ref="A366:H366"/>
    <mergeCell ref="A367:H367"/>
    <mergeCell ref="A368:H368"/>
    <mergeCell ref="A359:H359"/>
    <mergeCell ref="A360:H360"/>
    <mergeCell ref="A361:H361"/>
    <mergeCell ref="A362:H362"/>
    <mergeCell ref="A351:H351"/>
    <mergeCell ref="A352:H352"/>
    <mergeCell ref="A353:H353"/>
    <mergeCell ref="A354:H354"/>
    <mergeCell ref="A355:H355"/>
    <mergeCell ref="A356:H356"/>
    <mergeCell ref="A357:H357"/>
    <mergeCell ref="A358:H358"/>
    <mergeCell ref="A347:H347"/>
    <mergeCell ref="A348:H348"/>
    <mergeCell ref="A349:H349"/>
    <mergeCell ref="A350:H350"/>
    <mergeCell ref="A338:H338"/>
    <mergeCell ref="A339:H339"/>
    <mergeCell ref="A340:H340"/>
    <mergeCell ref="A341:H341"/>
    <mergeCell ref="A342:H342"/>
    <mergeCell ref="A343:H343"/>
    <mergeCell ref="A344:H344"/>
    <mergeCell ref="A345:AI345"/>
    <mergeCell ref="A334:H334"/>
    <mergeCell ref="A335:H335"/>
    <mergeCell ref="A336:H336"/>
    <mergeCell ref="A337:H337"/>
    <mergeCell ref="A319:H319"/>
    <mergeCell ref="A320:H320"/>
    <mergeCell ref="A321:H321"/>
    <mergeCell ref="A322:AI322"/>
    <mergeCell ref="A330:H330"/>
    <mergeCell ref="A331:H331"/>
    <mergeCell ref="A332:H332"/>
    <mergeCell ref="A333:H333"/>
    <mergeCell ref="A315:H315"/>
    <mergeCell ref="A316:H316"/>
    <mergeCell ref="A317:H317"/>
    <mergeCell ref="A318:H318"/>
    <mergeCell ref="A301:H301"/>
    <mergeCell ref="A302:AI302"/>
    <mergeCell ref="A309:H309"/>
    <mergeCell ref="A310:H310"/>
    <mergeCell ref="A311:H311"/>
    <mergeCell ref="A312:H312"/>
    <mergeCell ref="A313:H313"/>
    <mergeCell ref="A314:H314"/>
    <mergeCell ref="A297:H297"/>
    <mergeCell ref="A298:H298"/>
    <mergeCell ref="A299:H299"/>
    <mergeCell ref="A300:H300"/>
    <mergeCell ref="A289:H289"/>
    <mergeCell ref="A290:H290"/>
    <mergeCell ref="A291:H291"/>
    <mergeCell ref="A292:H292"/>
    <mergeCell ref="A293:H293"/>
    <mergeCell ref="A294:H294"/>
    <mergeCell ref="A295:H295"/>
    <mergeCell ref="A296:H296"/>
    <mergeCell ref="A275:H275"/>
    <mergeCell ref="A276:AI276"/>
    <mergeCell ref="A287:H287"/>
    <mergeCell ref="A288:H288"/>
    <mergeCell ref="A267:H267"/>
    <mergeCell ref="A268:H268"/>
    <mergeCell ref="A269:H269"/>
    <mergeCell ref="A270:H270"/>
    <mergeCell ref="A271:H271"/>
    <mergeCell ref="A272:H272"/>
    <mergeCell ref="A273:H273"/>
    <mergeCell ref="A274:H274"/>
    <mergeCell ref="A263:H263"/>
    <mergeCell ref="A264:H264"/>
    <mergeCell ref="A265:H265"/>
    <mergeCell ref="A266:H266"/>
    <mergeCell ref="A248:H248"/>
    <mergeCell ref="A249:H249"/>
    <mergeCell ref="A250:H250"/>
    <mergeCell ref="A251:H251"/>
    <mergeCell ref="A252:AI252"/>
    <mergeCell ref="A260:H260"/>
    <mergeCell ref="A261:H261"/>
    <mergeCell ref="A262:H262"/>
    <mergeCell ref="A244:H244"/>
    <mergeCell ref="A245:H245"/>
    <mergeCell ref="A246:H246"/>
    <mergeCell ref="A247:H247"/>
    <mergeCell ref="A236:H236"/>
    <mergeCell ref="A237:H237"/>
    <mergeCell ref="A238:H238"/>
    <mergeCell ref="A239:H239"/>
    <mergeCell ref="A240:H240"/>
    <mergeCell ref="A241:H241"/>
    <mergeCell ref="A242:H242"/>
    <mergeCell ref="A243:H243"/>
    <mergeCell ref="A220:AI220"/>
    <mergeCell ref="A233:H233"/>
    <mergeCell ref="A234:H234"/>
    <mergeCell ref="A235:H235"/>
    <mergeCell ref="A212:H212"/>
    <mergeCell ref="A213:H213"/>
    <mergeCell ref="A214:H214"/>
    <mergeCell ref="A215:H215"/>
    <mergeCell ref="A216:H216"/>
    <mergeCell ref="A217:H217"/>
    <mergeCell ref="A218:H218"/>
    <mergeCell ref="A219:H219"/>
    <mergeCell ref="A208:H208"/>
    <mergeCell ref="A209:H209"/>
    <mergeCell ref="A210:H210"/>
    <mergeCell ref="A211:H211"/>
    <mergeCell ref="A196:H196"/>
    <mergeCell ref="A197:H197"/>
    <mergeCell ref="A198:H198"/>
    <mergeCell ref="A199:H199"/>
    <mergeCell ref="A200:H200"/>
    <mergeCell ref="A201:AI201"/>
    <mergeCell ref="A206:H206"/>
    <mergeCell ref="A207:H207"/>
    <mergeCell ref="A192:H192"/>
    <mergeCell ref="A193:H193"/>
    <mergeCell ref="A194:H194"/>
    <mergeCell ref="A195:H195"/>
    <mergeCell ref="A180:H180"/>
    <mergeCell ref="A181:AI181"/>
    <mergeCell ref="A186:H186"/>
    <mergeCell ref="A187:H187"/>
    <mergeCell ref="A188:H188"/>
    <mergeCell ref="A189:H189"/>
    <mergeCell ref="A190:H190"/>
    <mergeCell ref="A191:H191"/>
    <mergeCell ref="A176:H176"/>
    <mergeCell ref="A177:H177"/>
    <mergeCell ref="A178:H178"/>
    <mergeCell ref="A179:H179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60:H160"/>
    <mergeCell ref="A161:H161"/>
    <mergeCell ref="A162:AI162"/>
    <mergeCell ref="A167:H167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48:H148"/>
    <mergeCell ref="A149:H149"/>
    <mergeCell ref="A150:H150"/>
    <mergeCell ref="A151:H151"/>
    <mergeCell ref="A117:H117"/>
    <mergeCell ref="A118:H118"/>
    <mergeCell ref="A119:H119"/>
    <mergeCell ref="A120:AI120"/>
    <mergeCell ref="A144:H144"/>
    <mergeCell ref="A145:H145"/>
    <mergeCell ref="A146:H146"/>
    <mergeCell ref="A147:H147"/>
    <mergeCell ref="A113:H113"/>
    <mergeCell ref="A114:H114"/>
    <mergeCell ref="A115:H115"/>
    <mergeCell ref="A116:H116"/>
    <mergeCell ref="A105:H105"/>
    <mergeCell ref="A106:H106"/>
    <mergeCell ref="A107:H107"/>
    <mergeCell ref="A108:H108"/>
    <mergeCell ref="A109:H109"/>
    <mergeCell ref="A110:H110"/>
    <mergeCell ref="A111:H111"/>
    <mergeCell ref="A112:H112"/>
    <mergeCell ref="A101:H101"/>
    <mergeCell ref="A102:H102"/>
    <mergeCell ref="A103:H103"/>
    <mergeCell ref="A104:H104"/>
    <mergeCell ref="A50:H50"/>
    <mergeCell ref="A51:H51"/>
    <mergeCell ref="A52:H52"/>
    <mergeCell ref="A53:H53"/>
    <mergeCell ref="A54:H54"/>
    <mergeCell ref="A55:AI55"/>
    <mergeCell ref="A75:AI75"/>
    <mergeCell ref="A100:H100"/>
    <mergeCell ref="A47:H47"/>
    <mergeCell ref="A48:H48"/>
    <mergeCell ref="A49:H49"/>
    <mergeCell ref="A7:N7"/>
    <mergeCell ref="C11:E11"/>
    <mergeCell ref="D12:E12"/>
    <mergeCell ref="G17:G18"/>
    <mergeCell ref="M15:N16"/>
    <mergeCell ref="E15:G16"/>
    <mergeCell ref="A40:H40"/>
    <mergeCell ref="A41:H41"/>
    <mergeCell ref="A42:H42"/>
    <mergeCell ref="A43:H43"/>
    <mergeCell ref="A44:H44"/>
    <mergeCell ref="A45:H45"/>
    <mergeCell ref="H13:N13"/>
    <mergeCell ref="A4:C4"/>
    <mergeCell ref="I4:N4"/>
    <mergeCell ref="J17:J18"/>
    <mergeCell ref="L17:L18"/>
    <mergeCell ref="N17:N18"/>
    <mergeCell ref="A15:A18"/>
    <mergeCell ref="D15:D18"/>
    <mergeCell ref="C15:C18"/>
    <mergeCell ref="A46:H46"/>
    <mergeCell ref="B15:B18"/>
    <mergeCell ref="A10:N10"/>
    <mergeCell ref="A36:H36"/>
    <mergeCell ref="A37:H37"/>
    <mergeCell ref="A38:H38"/>
    <mergeCell ref="A39:H39"/>
    <mergeCell ref="H15:H18"/>
    <mergeCell ref="I17:I18"/>
    <mergeCell ref="A20:AI20"/>
    <mergeCell ref="A35:H35"/>
    <mergeCell ref="I15:L16"/>
    <mergeCell ref="M17:M18"/>
  </mergeCells>
  <phoneticPr fontId="0" type="noConversion"/>
  <pageMargins left="0.19685039370078741" right="0.19685039370078741" top="0.19685039370078741" bottom="0.19685039370078741" header="0" footer="0"/>
  <pageSetup paperSize="9" scale="70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Сафьянова Любовь Александровна</cp:lastModifiedBy>
  <cp:lastPrinted>2016-05-26T17:28:47Z</cp:lastPrinted>
  <dcterms:created xsi:type="dcterms:W3CDTF">2003-01-28T12:33:10Z</dcterms:created>
  <dcterms:modified xsi:type="dcterms:W3CDTF">2016-06-23T07:49:13Z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