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23.06.16\сметы с. Кафтанчиково,ул. Коммунистическая, 90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'Лок.См.Расч.Баз.-Инд.Методом'!$A$1:$N$236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212" i="5" l="1"/>
  <c r="AI212" i="5"/>
  <c r="L213" i="5"/>
  <c r="AI213" i="5"/>
  <c r="L214" i="5"/>
  <c r="AI214" i="5"/>
  <c r="L186" i="5"/>
  <c r="AI186" i="5"/>
  <c r="L187" i="5"/>
  <c r="AI187" i="5"/>
  <c r="L188" i="5"/>
  <c r="AI188" i="5"/>
  <c r="L189" i="5"/>
  <c r="AI189" i="5"/>
  <c r="L190" i="5"/>
  <c r="AI190" i="5"/>
  <c r="L191" i="5"/>
  <c r="AI191" i="5"/>
  <c r="L192" i="5"/>
  <c r="AI192" i="5"/>
  <c r="L193" i="5"/>
  <c r="AI193" i="5"/>
  <c r="L194" i="5"/>
  <c r="AI194" i="5"/>
  <c r="L195" i="5"/>
  <c r="AI195" i="5"/>
  <c r="L196" i="5"/>
  <c r="AI196" i="5"/>
  <c r="L197" i="5"/>
  <c r="AI197" i="5"/>
  <c r="L198" i="5"/>
  <c r="AI198" i="5"/>
  <c r="L199" i="5"/>
  <c r="AI199" i="5"/>
  <c r="L200" i="5"/>
  <c r="AI200" i="5"/>
  <c r="L201" i="5"/>
  <c r="AI201" i="5"/>
  <c r="L202" i="5"/>
  <c r="AI202" i="5"/>
  <c r="L163" i="5"/>
  <c r="AI163" i="5"/>
  <c r="L164" i="5"/>
  <c r="AI164" i="5"/>
  <c r="L165" i="5"/>
  <c r="AI165" i="5"/>
  <c r="L166" i="5"/>
  <c r="AI166" i="5"/>
  <c r="L167" i="5"/>
  <c r="AI167" i="5"/>
  <c r="L168" i="5"/>
  <c r="AI168" i="5"/>
  <c r="L169" i="5"/>
  <c r="AI169" i="5"/>
  <c r="L170" i="5"/>
  <c r="AI170" i="5"/>
  <c r="L171" i="5"/>
  <c r="AI171" i="5"/>
  <c r="L172" i="5"/>
  <c r="AI172" i="5"/>
  <c r="L173" i="5"/>
  <c r="AI173" i="5"/>
  <c r="L174" i="5"/>
  <c r="AI174" i="5"/>
  <c r="L175" i="5"/>
  <c r="AI175" i="5"/>
  <c r="L176" i="5"/>
  <c r="AI176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144" i="5"/>
  <c r="AI144" i="5"/>
  <c r="L145" i="5"/>
  <c r="AI145" i="5"/>
  <c r="L146" i="5"/>
  <c r="AI146" i="5"/>
  <c r="L147" i="5"/>
  <c r="AI147" i="5"/>
  <c r="L148" i="5"/>
  <c r="AI148" i="5"/>
  <c r="L149" i="5"/>
  <c r="AI149" i="5"/>
  <c r="L150" i="5"/>
  <c r="AI150" i="5"/>
  <c r="L151" i="5"/>
  <c r="AI151" i="5"/>
  <c r="L152" i="5"/>
  <c r="AI152" i="5"/>
  <c r="L153" i="5"/>
  <c r="AI153" i="5"/>
  <c r="L73" i="5"/>
  <c r="AI73" i="5"/>
  <c r="L74" i="5"/>
  <c r="AI74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120" i="5"/>
  <c r="AI120" i="5"/>
  <c r="L121" i="5"/>
  <c r="AI121" i="5"/>
  <c r="L122" i="5"/>
  <c r="AI122" i="5"/>
  <c r="L123" i="5"/>
  <c r="AI123" i="5"/>
  <c r="L124" i="5"/>
  <c r="AI124" i="5"/>
  <c r="L125" i="5"/>
  <c r="AI125" i="5"/>
  <c r="L38" i="5"/>
  <c r="AI38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C39" i="5"/>
  <c r="C195" i="5"/>
  <c r="C96" i="5"/>
  <c r="C188" i="5"/>
  <c r="C138" i="5"/>
  <c r="C89" i="5"/>
  <c r="C121" i="5"/>
  <c r="C23" i="5"/>
  <c r="C82" i="5"/>
  <c r="C62" i="5"/>
  <c r="C193" i="5"/>
  <c r="C143" i="5"/>
  <c r="C94" i="5"/>
  <c r="C122" i="5"/>
  <c r="C21" i="5"/>
  <c r="C199" i="5"/>
  <c r="C149" i="5"/>
  <c r="C100" i="5"/>
  <c r="C48" i="5"/>
  <c r="C190" i="5"/>
  <c r="C166" i="5"/>
  <c r="C140" i="5"/>
  <c r="C75" i="5"/>
  <c r="C91" i="5"/>
  <c r="C107" i="5"/>
  <c r="C123" i="5"/>
  <c r="C51" i="5"/>
  <c r="C24" i="5"/>
  <c r="C163" i="5"/>
  <c r="C153" i="5"/>
  <c r="C104" i="5"/>
  <c r="C56" i="5"/>
  <c r="C192" i="5"/>
  <c r="C168" i="5"/>
  <c r="C142" i="5"/>
  <c r="C77" i="5"/>
  <c r="C93" i="5"/>
  <c r="C109" i="5"/>
  <c r="C125" i="5"/>
  <c r="C53" i="5"/>
  <c r="C26" i="5"/>
  <c r="C165" i="5"/>
  <c r="C74" i="5"/>
  <c r="C110" i="5"/>
  <c r="C54" i="5"/>
  <c r="C60" i="5"/>
  <c r="C201" i="5"/>
  <c r="C151" i="5"/>
  <c r="C98" i="5"/>
  <c r="C42" i="5"/>
  <c r="C31" i="5"/>
  <c r="C167" i="5"/>
  <c r="C76" i="5"/>
  <c r="C108" i="5"/>
  <c r="C52" i="5"/>
  <c r="C194" i="5"/>
  <c r="C170" i="5"/>
  <c r="C144" i="5"/>
  <c r="C87" i="5"/>
  <c r="C103" i="5"/>
  <c r="C119" i="5"/>
  <c r="C55" i="5"/>
  <c r="C171" i="5"/>
  <c r="C112" i="5"/>
  <c r="C196" i="5"/>
  <c r="C146" i="5"/>
  <c r="C97" i="5"/>
  <c r="C41" i="5"/>
  <c r="C30" i="5"/>
  <c r="C147" i="5"/>
  <c r="C46" i="5"/>
  <c r="C79" i="5"/>
  <c r="C63" i="5"/>
  <c r="C145" i="5"/>
  <c r="C44" i="5"/>
  <c r="C164" i="5"/>
  <c r="C73" i="5"/>
  <c r="C105" i="5"/>
  <c r="C49" i="5"/>
  <c r="C173" i="5"/>
  <c r="C118" i="5"/>
  <c r="C29" i="5"/>
  <c r="C169" i="5"/>
  <c r="C78" i="5"/>
  <c r="C106" i="5"/>
  <c r="C50" i="5"/>
  <c r="C187" i="5"/>
  <c r="C175" i="5"/>
  <c r="C84" i="5"/>
  <c r="C116" i="5"/>
  <c r="C22" i="5"/>
  <c r="C198" i="5"/>
  <c r="C174" i="5"/>
  <c r="C148" i="5"/>
  <c r="C83" i="5"/>
  <c r="C99" i="5"/>
  <c r="C115" i="5"/>
  <c r="C43" i="5"/>
  <c r="C59" i="5"/>
  <c r="C212" i="5"/>
  <c r="C137" i="5"/>
  <c r="C88" i="5"/>
  <c r="C120" i="5"/>
  <c r="C213" i="5"/>
  <c r="C200" i="5"/>
  <c r="C176" i="5"/>
  <c r="C150" i="5"/>
  <c r="C85" i="5"/>
  <c r="C101" i="5"/>
  <c r="C117" i="5"/>
  <c r="C45" i="5"/>
  <c r="C61" i="5"/>
  <c r="C214" i="5"/>
  <c r="C139" i="5"/>
  <c r="C90" i="5"/>
  <c r="C38" i="5"/>
  <c r="C27" i="5"/>
  <c r="C189" i="5"/>
  <c r="C135" i="5"/>
  <c r="C86" i="5"/>
  <c r="C114" i="5"/>
  <c r="C58" i="5"/>
  <c r="C191" i="5"/>
  <c r="C141" i="5"/>
  <c r="C92" i="5"/>
  <c r="C124" i="5"/>
  <c r="C186" i="5"/>
  <c r="C202" i="5"/>
  <c r="C152" i="5"/>
  <c r="C111" i="5"/>
  <c r="C28" i="5"/>
  <c r="C25" i="5"/>
  <c r="C81" i="5"/>
  <c r="C57" i="5"/>
  <c r="C102" i="5"/>
  <c r="C136" i="5"/>
  <c r="C95" i="5"/>
  <c r="C47" i="5"/>
  <c r="C80" i="5"/>
  <c r="C172" i="5"/>
  <c r="C113" i="5"/>
  <c r="C197" i="5"/>
  <c r="C40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2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3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<sst xmlns="http://schemas.openxmlformats.org/spreadsheetml/2006/main" count="1079" uniqueCount="667">
  <si>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</si>
  <si>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</si>
  <si>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</si>
  <si>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</si>
  <si>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</si>
  <si>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</si>
  <si>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</si>
  <si>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</si>
  <si>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</si>
  <si>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</si>
  <si>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</si>
  <si>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</si>
  <si>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</si>
  <si>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</si>
  <si>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</si>
  <si>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</si>
  <si>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</si>
  <si>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</si>
  <si>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</si>
  <si>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</si>
  <si>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</si>
  <si>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</si>
  <si>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</si>
  <si>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t xml:space="preserve">
ИНН/КПП /</t>
  </si>
  <si>
    <t>ЛОКАЛЬНЫЙ СМЕТНЫЙ РАСЧЕТ №  02-01-01</t>
  </si>
  <si>
    <t>Основание:  проект П-16-117-АС</t>
  </si>
  <si>
    <t>Проверил:____________________________</t>
  </si>
  <si>
    <t>Раздел 1. Демонтажные работы</t>
  </si>
  <si>
    <t>ФЕР46-04-008-04</t>
  </si>
  <si>
    <t>154,66
124,02</t>
  </si>
  <si>
    <t>46.73 Разборка покрытий кровель: ОЗП=15,9; ЭМ=3,01; ЗПМ=15,9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</si>
  <si>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</si>
  <si>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</si>
  <si>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 540*0,014=7,56 т</t>
  </si>
  <si>
    <t>100 м2 покрытия</t>
  </si>
  <si>
    <t>ФЕРр58-3-1</t>
  </si>
  <si>
    <t>71,18
70,98</t>
  </si>
  <si>
    <t>84.3 Разборка мелких покрытий и обделок из листовой стали: ОЗП=15,9; ЭМ=4,8; ЗПМ=15,9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</si>
  <si>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</si>
  <si>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</si>
  <si>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</si>
  <si>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</si>
  <si>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ФЕРр58-3-1
зонты</t>
  </si>
  <si>
    <t>0,49
0,13+0,36</t>
  </si>
  <si>
    <t>ФЕРр58-2-2</t>
  </si>
  <si>
    <t>2466,21
2455,84</t>
  </si>
  <si>
    <t>84.2 Разборка слуховых окон: ОЗП=15,9; ЭМ=4,68; ЗПМ=15,9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</si>
  <si>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</si>
  <si>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</si>
  <si>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</si>
  <si>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</si>
  <si>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</si>
  <si>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ОЗП=15,9; ЭМ=12,03; ЗПМ=15,9</t>
  </si>
  <si>
    <t>2586
541</t>
  </si>
  <si>
    <t>15,16
0,46</t>
  </si>
  <si>
    <t>81,86
2,48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</si>
  <si>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</si>
  <si>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</si>
  <si>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</si>
  <si>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</si>
  <si>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</si>
  <si>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1624
334</t>
  </si>
  <si>
    <t>22,68
0,29</t>
  </si>
  <si>
    <t>122,47
1,57</t>
  </si>
  <si>
    <t>Разборка деревянных элементов конструкций крыш: стропил со стойками и подкосами из досок</t>
  </si>
  <si>
    <t>ФЕРр58-1-4</t>
  </si>
  <si>
    <t>76,77
53,44</t>
  </si>
  <si>
    <t>23,33
3,65</t>
  </si>
  <si>
    <t>1516
318</t>
  </si>
  <si>
    <t>6,73
0,27</t>
  </si>
  <si>
    <t>36,34
1,46</t>
  </si>
  <si>
    <t>Разборка деревянных элементов конструкций крыш: мауэрлатов</t>
  </si>
  <si>
    <t>ФЕРр58-4-1
прим. ограждений</t>
  </si>
  <si>
    <t>118,1
116,48</t>
  </si>
  <si>
    <t>84.4 Разборка парапетных решеток: ОЗП=15,9; ЭМ=4,67; ЗПМ=15,9</t>
  </si>
  <si>
    <t>Разборка парапетных решеток</t>
  </si>
  <si>
    <t>100 м парапетных решеток</t>
  </si>
  <si>
    <t>ФЕР10-01-039-05
ОЗП=0,8
ЭМ=0,8
ЗПМ=0,8
МАТ=0
ТЗ=0,8
ТЗМ=0,8</t>
  </si>
  <si>
    <t>1627,62
823,46</t>
  </si>
  <si>
    <t>804,16
104,66</t>
  </si>
  <si>
    <t>10.95. Установка люков в перекрытиях: ОЗП=15,9; ЭМ=11,91; ЗПМ=15,9; МАТ=5,87</t>
  </si>
  <si>
    <t>71
16</t>
  </si>
  <si>
    <t>97,336
7,752</t>
  </si>
  <si>
    <t>0,7
0,06</t>
  </si>
  <si>
    <t>НР 90%=118%*(0,85*0,9) от ФОТ</t>
  </si>
  <si>
    <t>СП 43%=63%*(0,8*0,85) от ФОТ</t>
  </si>
  <si>
    <t>(Демонтаж (разборка) сборных деревянных конструкций ОЗП=0,8; ЭМ=0,8 к расх.; ЗПМ=0,8; МАТ=0 к расх.; ТЗ=0,8; ТЗМ=0,8)</t>
  </si>
  <si>
    <t>Демонтаж люков в перекрытиях, площадь проема до 2 м2 0,071=0,071 т</t>
  </si>
  <si>
    <t>100 м2 проемов</t>
  </si>
  <si>
    <t>ФЕР46-04-001-04</t>
  </si>
  <si>
    <t>10,39
1,69+8,7</t>
  </si>
  <si>
    <t>180,03
73,01</t>
  </si>
  <si>
    <t>107,02
11,57</t>
  </si>
  <si>
    <t>46.62 Разборка: кирпичных и мелкоблочных стен: ОЗП=15,9; ЭМ=5,15; ЗПМ=15,9</t>
  </si>
  <si>
    <t>5727
1908</t>
  </si>
  <si>
    <t>8,24
1,15</t>
  </si>
  <si>
    <t>85,61
11,95</t>
  </si>
  <si>
    <t>Разборка: кирпичных стен 10,39*1,8=18,702 т</t>
  </si>
  <si>
    <t>1 м3</t>
  </si>
  <si>
    <t>ФЕРр69-9-1</t>
  </si>
  <si>
    <t>1553,82
1553,82</t>
  </si>
  <si>
    <t>94.16 Очистка помещений от строительного мусора: ОЗП=15,9</t>
  </si>
  <si>
    <t>НР 66%=78%*0,85 от ФОТ</t>
  </si>
  <si>
    <t>СП 40%=50%*0,8 от ФОТ</t>
  </si>
  <si>
    <t>Очистка помещений от строительного мусора</t>
  </si>
  <si>
    <t>100 т мусора</t>
  </si>
  <si>
    <t>Итого прямые затраты по разделу в ценах 2001г.</t>
  </si>
  <si>
    <t>1760
196</t>
  </si>
  <si>
    <t>521,21
17,52</t>
  </si>
  <si>
    <t>Итого прямые затраты по разделу с учетом индексов, в текущих ценах</t>
  </si>
  <si>
    <t>12026
3117</t>
  </si>
  <si>
    <t>Накладные расходы</t>
  </si>
  <si>
    <t>Сметная прибыль</t>
  </si>
  <si>
    <t>Итого по разделу 1 Демонтажные работы</t>
  </si>
  <si>
    <t>Раздел 2. Чердак</t>
  </si>
  <si>
    <t>ФЕР08-02-001-01</t>
  </si>
  <si>
    <t>890,84
44,87</t>
  </si>
  <si>
    <t>34,56
5,4</t>
  </si>
  <si>
    <t>8.14. Кладка стен из кирпича: ОЗП=15,9; ЭМ=12,03; ЗПМ=15,9; МАТ=4,68</t>
  </si>
  <si>
    <t>4523
938</t>
  </si>
  <si>
    <t>5,4
0,4</t>
  </si>
  <si>
    <t>46,98
3,48</t>
  </si>
  <si>
    <t>НР 93%=122%*(0,85*0,9) от ФОТ</t>
  </si>
  <si>
    <t>СП 54%=80%*(0,8*0,85) от ФОТ</t>
  </si>
  <si>
    <t>Кладка стен кирпичных наружных: простых при высоте этажа до 4 м</t>
  </si>
  <si>
    <t>1 м3 кладки</t>
  </si>
  <si>
    <t>ФЕРр58-13-1</t>
  </si>
  <si>
    <t>924,81
36,25</t>
  </si>
  <si>
    <t>84.34 Устройство покрытия из рулонных материалов: насухо без промазки кромок: ОЗП=15,9; ЭМ=11,58; ЗПМ=15,9; МАТ=5,21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</si>
  <si>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</si>
  <si>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</si>
  <si>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МАТ=5,235</t>
  </si>
  <si>
    <t>Рубероид кровельный с крупнозернистой посыпкой марки: РКК-350б</t>
  </si>
  <si>
    <t>м2</t>
  </si>
  <si>
    <t>ФССЦ-101-7198</t>
  </si>
  <si>
    <t>ИЗОСПАН: В; МАТ=5,839</t>
  </si>
  <si>
    <t>ИЗОСПАН: В</t>
  </si>
  <si>
    <t>10 м2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</si>
  <si>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</si>
  <si>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</si>
  <si>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</si>
  <si>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ОЗП=15,9; ЭМ=9,26; ЗПМ=15,9; МАТ=7</t>
  </si>
  <si>
    <t>5973
572</t>
  </si>
  <si>
    <t>45,54
0,55</t>
  </si>
  <si>
    <t>177,61
2,15</t>
  </si>
  <si>
    <t>НР 92%=120%*(0,85*0,9) от ФОТ</t>
  </si>
  <si>
    <t>СП 44%=65%*(0,8*0,85) от ФОТ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</si>
  <si>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</si>
  <si>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</si>
  <si>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</si>
  <si>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ЭМ=5,727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</si>
  <si>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</si>
  <si>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</si>
  <si>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</si>
  <si>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</si>
  <si>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</si>
  <si>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марки: БНК-45/190, БНК-45/180; МАТ=13,273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</si>
  <si>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</si>
  <si>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</si>
  <si>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</si>
  <si>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KT-1, KT-2; МАТ=22,429</t>
  </si>
  <si>
    <t>Керосин для технических целей марок КТ-1, КТ-2</t>
  </si>
  <si>
    <t>ФССЦ-101-0594</t>
  </si>
  <si>
    <t>Мастика битумная кровельная горячая; МАТ=10,164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</si>
  <si>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</si>
  <si>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</si>
  <si>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МАТ=5,946</t>
  </si>
  <si>
    <t>Плиты из минеральной ваты на синтетическом связующем М-125 (ГОСТ 9573-96)</t>
  </si>
  <si>
    <t>м3</t>
  </si>
  <si>
    <t>ФЕР12-01-013-04
ПЗ=4
ОЗП=4
ЭМ=4
ЗПМ=4
МАТ=4
ТЗ=4
ТЗМ=4</t>
  </si>
  <si>
    <t>17674,64
1341,28</t>
  </si>
  <si>
    <t>506,2
29,72</t>
  </si>
  <si>
    <t>22854
2306</t>
  </si>
  <si>
    <t>141,04
2,2</t>
  </si>
  <si>
    <t>550,06
8,58</t>
  </si>
  <si>
    <t>(Всего толщ. 250 мм ПЗ=4 (ОЗП=4; ЭМ=4 к расх.; ЗПМ=4; МАТ=4 к расх.; ТЗ=4; ТЗМ=4))</t>
  </si>
  <si>
    <t>Утепление покрытий плитами: на каждый последующий слой добавлять к расценке 12-01-013-03</t>
  </si>
  <si>
    <t>ФССЦ-104-9100-91004</t>
  </si>
  <si>
    <t>100,425
97,5*1,03</t>
  </si>
  <si>
    <t>Индекс на материалы; МАТ=5,63</t>
  </si>
  <si>
    <t>Плиты теплоизоляционные энергетические гидрофобизированные базальтовые: ПТЭ-125 , размером 2000х1000х50 мм 4145,05/5,63=736,24</t>
  </si>
  <si>
    <t>ФЕР26-01-036-01
ПЗ=2
ОЗП=2
ЭМ=2
ЗПМ=2
МАТ=2
ТЗ=2
ТЗМ=2</t>
  </si>
  <si>
    <t>494,32
264,66</t>
  </si>
  <si>
    <t>18,76
0,82</t>
  </si>
  <si>
    <t>26.40 Изоляция изделиями из волокнистых и зернистых материалов с креплением на клее и дюбелями холодных поверхностей: наружных стен: ОЗП=15,9; ЭМ=9,47; ЗПМ=15,9; МАТ=1,72</t>
  </si>
  <si>
    <t>152
16</t>
  </si>
  <si>
    <t>32,12
0,06</t>
  </si>
  <si>
    <t>21,94
0,04</t>
  </si>
  <si>
    <t>НР 77%=100%*(0,85*0,9) от ФОТ</t>
  </si>
  <si>
    <t>(В 2 слоя ПЗ=2 (ОЗП=2; ЭМ=2 к расх.; ЗПМ=2; МАТ=2 к расх.; ТЗ=2; ТЗМ=2))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</si>
  <si>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</si>
  <si>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</si>
  <si>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Прайс Leroy Merlin</t>
  </si>
  <si>
    <t>140,698
68.3*2*1.03</t>
  </si>
  <si>
    <t>Минплита URSA GEO универсальный 40.42/1.18/5.63=6.08</t>
  </si>
  <si>
    <t>ФССЦ-101-7194</t>
  </si>
  <si>
    <t>ИЗОСПАН: А; МАТ=5,199</t>
  </si>
  <si>
    <t>ИЗОСПАН: А</t>
  </si>
  <si>
    <t>ФЕР10-01-023-01</t>
  </si>
  <si>
    <t>1051,44
31,84</t>
  </si>
  <si>
    <t>12,45
1,08</t>
  </si>
  <si>
    <t>10.54. Укладка ходовых досок: ОЗП=15,9; ЭМ=11,36; ЗПМ=15,9; МАТ=5,55</t>
  </si>
  <si>
    <t>102
16</t>
  </si>
  <si>
    <t>3,8
0,08</t>
  </si>
  <si>
    <t>2,17
0,05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</si>
  <si>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</si>
  <si>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</si>
  <si>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</si>
  <si>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МАТ=5,57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</si>
  <si>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</si>
  <si>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</si>
  <si>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МАТ=4,19</t>
  </si>
  <si>
    <t>Доски обрезные хвойных пород длиной: 4-6,5 м, шириной 75-150 мм, толщиной 44 мм и более, II сорта</t>
  </si>
  <si>
    <t>ФЕР10-01-010-01
прим. лесница к слуховым окнам</t>
  </si>
  <si>
    <t>2411,06
188,55</t>
  </si>
  <si>
    <t>10.18. Установка деревянных элементов каркаса: ОЗП=15,9; ЭМ=11,23; ЗПМ=15,9; МАТ=4,2</t>
  </si>
  <si>
    <t>Установка элементов каркаса: из брусьев</t>
  </si>
  <si>
    <t>1 м3 древесины в конструкции</t>
  </si>
  <si>
    <t>ФЕР09-04-013-01</t>
  </si>
  <si>
    <t>91,99
21,13</t>
  </si>
  <si>
    <t>9.67 Установка противопожарных дверей: ОЗП=15,9; ЭМ=6,6; ЗПМ=15,9; МАТ=5,62</t>
  </si>
  <si>
    <t>НР 69%=90%*(0,85*0,9) от ФОТ</t>
  </si>
  <si>
    <t>СП 58%=85%*(0,8*0,85) от ФОТ</t>
  </si>
  <si>
    <t>Установка противопожарных дверей: однопольных глухих</t>
  </si>
  <si>
    <t>1 м2 проема</t>
  </si>
  <si>
    <t>ФССЦ-301-0271-00023</t>
  </si>
  <si>
    <t>Люки противопожарные: ЛПМ 01/60, 800х900 мм 8653,97/5,63=1537,12</t>
  </si>
  <si>
    <t>шт.</t>
  </si>
  <si>
    <t>1639
194</t>
  </si>
  <si>
    <t>842,31
14,3</t>
  </si>
  <si>
    <t>Итого прямые затраты по разделу с учетом коэффициентов к итогам</t>
  </si>
  <si>
    <t>2347
242</t>
  </si>
  <si>
    <t>962,92
17,88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</si>
  <si>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</si>
  <si>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12, 16, 22, 27, 32, 35-36)</t>
  </si>
  <si>
    <t>707
49</t>
  </si>
  <si>
    <t>120,5985
3,575</t>
  </si>
  <si>
    <t>27217
3848</t>
  </si>
  <si>
    <t>Итого по разделу 2 Чердак</t>
  </si>
  <si>
    <t>Раздел 3. Кровля</t>
  </si>
  <si>
    <t>ФЕР10-01-002-01</t>
  </si>
  <si>
    <t>2300,67
200,19</t>
  </si>
  <si>
    <t>38,22
2,03</t>
  </si>
  <si>
    <t>10.4. Установка стропил: ОЗП=15,9; ЭМ=11,14; ЗПМ=15,9; МАТ=4,11</t>
  </si>
  <si>
    <t>12521
954</t>
  </si>
  <si>
    <t>24,09
0,15</t>
  </si>
  <si>
    <t>566,86
3,53</t>
  </si>
  <si>
    <t>Установка стропил</t>
  </si>
  <si>
    <t>ФЕРр58-12-1</t>
  </si>
  <si>
    <t>2,558
3,55-0,992</t>
  </si>
  <si>
    <t>2492,19
252,73</t>
  </si>
  <si>
    <t>40,78
5,94</t>
  </si>
  <si>
    <t>84.30 Устройство обрешетки сплошной из досок: ОЗП=15,9; ЭМ=10,05; ЗПМ=15,9; МАТ=5,72</t>
  </si>
  <si>
    <t>1045
239</t>
  </si>
  <si>
    <t>31,83
0,44</t>
  </si>
  <si>
    <t>81,42
1,13</t>
  </si>
  <si>
    <t>Устройство обрешетки сплошной из досок 99,2 м2 учтено в поз.64</t>
  </si>
  <si>
    <t>100 м2</t>
  </si>
  <si>
    <t>ФССЦ-102-0073</t>
  </si>
  <si>
    <t>Доски необрезные хвойных пород длиной: 4-6,5 м, все ширины, толщиной 25 мм, III сорта; МАТ=5,856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</si>
  <si>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</si>
  <si>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</si>
  <si>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</si>
  <si>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</si>
  <si>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ОЗП=15,9; ЭМ=9,87; ЗПМ=15,9; МАТ=5,45</t>
  </si>
  <si>
    <t>523
143</t>
  </si>
  <si>
    <t>21,35
0,32</t>
  </si>
  <si>
    <t>42,49
0,64</t>
  </si>
  <si>
    <t>Устройство обрешетки с прозорами из досок и брусков под кровлю: из листовой стали</t>
  </si>
  <si>
    <t>ФЕР10-01-082-01
контробрешетка</t>
  </si>
  <si>
    <t>1895,89
136,85</t>
  </si>
  <si>
    <t>35,23
2,03</t>
  </si>
  <si>
    <t>10.145 Укладка по фермам прогонов: ОЗП=15,9; ЭМ=11,42; ЗПМ=15,9; МАТ=4,09</t>
  </si>
  <si>
    <t>354
16</t>
  </si>
  <si>
    <t>14,39
0,15</t>
  </si>
  <si>
    <t>10,07
0,11</t>
  </si>
  <si>
    <t>Укладка по фермам прогонов: из досок</t>
  </si>
  <si>
    <t>ФССЦ-102-0059</t>
  </si>
  <si>
    <t>Доски обрезные хвойных пород длиной: 4-6,5 м, шириной 75-150 мм, толщиной 44 мм и более, I сорта; МАТ=3,518</t>
  </si>
  <si>
    <t>Доски обрезные хвойных пород длиной: 4-6,5 м, шириной 75-150 мм, толщиной 44 мм и более, I сорта</t>
  </si>
  <si>
    <t>ФССЦ-102-0061</t>
  </si>
  <si>
    <t>Доски обрезные хвойных пород длиной 4-6,5 м, шириной 75-150 мм, толщиной 44 мм и более, III сорта; МАТ=5,238</t>
  </si>
  <si>
    <t>Доски обрезные хвойных пород длиной: 4-6,5 м, шириной 75-150 мм, толщиной 44 мм и более, III сорта</t>
  </si>
  <si>
    <t>ФССЦ-102-0048</t>
  </si>
  <si>
    <t>Доски обрезные хвойных пород длиной: 4-6,5 м, шириной 75-150, мм толщиной 19-22 мм, II сорта; МАТ=3,707</t>
  </si>
  <si>
    <t>Доски обрезные хвойных пород длиной: 4-6,5 м, шириной 75-150, мм толщиной 19-22 мм, II сорта</t>
  </si>
  <si>
    <t>ФССЦ-101-7200</t>
  </si>
  <si>
    <t>ИЗОСПАН: D; МАТ=4,463</t>
  </si>
  <si>
    <t>ИЗОСПАН: D</t>
  </si>
  <si>
    <t>ФЕР10-01-003-01</t>
  </si>
  <si>
    <t>378,81
56,55</t>
  </si>
  <si>
    <t>22,06
1,49</t>
  </si>
  <si>
    <t>10.5. Устройство слуховых окон: ОЗП=15,9; ЭМ=11,38; ЗПМ=15,9; МАТ=5,5</t>
  </si>
  <si>
    <t>945
80</t>
  </si>
  <si>
    <t>6,63
0,11</t>
  </si>
  <si>
    <t>19,89
0,33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</si>
  <si>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</si>
  <si>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</si>
  <si>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</si>
  <si>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МАТ=1,875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</si>
  <si>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</si>
  <si>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</si>
  <si>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</si>
  <si>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МАТ=5,297</t>
  </si>
  <si>
    <t>Шпингалеты дверные размером 230х26 мм, оцинкованные или окрашенные</t>
  </si>
  <si>
    <t>ФССЦ-203-0251</t>
  </si>
  <si>
    <t>Створки оконные для жилых зданий площадь: 0,3-0,4 м2; МАТ=7,752</t>
  </si>
  <si>
    <t>Створки оконные для жилых зданий площадь: 0,3-0,4 м2</t>
  </si>
  <si>
    <t>ФССЦ-203-0255</t>
  </si>
  <si>
    <t>Створки оконные для жилых зданий площадь: 0,8-1,0 м2; МАТ=5,332</t>
  </si>
  <si>
    <t>Створки оконные для жилых зданий площадь: 0,8-1,0 м2</t>
  </si>
  <si>
    <t>ФЕР26-02-018-02</t>
  </si>
  <si>
    <t>159,27
83,38</t>
  </si>
  <si>
    <t>74,06
1,04</t>
  </si>
  <si>
    <t>26.106 Огнебиозащитное покрытие деревянных конструкций составами 'Пирилакс' (любой модификации): ОЗП=15,9; ЭМ=11,37; ЗПМ=15,9; МАТ=16,82</t>
  </si>
  <si>
    <t>21842
445</t>
  </si>
  <si>
    <t>8,87
0,09</t>
  </si>
  <si>
    <t>184,12
1,87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</si>
  <si>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</t>
  </si>
  <si>
    <t>100 м2 обрабатываемой поверхности</t>
  </si>
  <si>
    <t>ФССЦ-113-8070</t>
  </si>
  <si>
    <t>Антисептик-антипирен «ПИРИЛАКС-ТЕРМА» для древесины; МАТ=9,435</t>
  </si>
  <si>
    <t>Антисептик-антипирен «ПИРИЛАКС-ТЕРМА» для древесины</t>
  </si>
  <si>
    <t>кг</t>
  </si>
  <si>
    <t>ФЕР12-01-023-01</t>
  </si>
  <si>
    <t>9597,58
332,9</t>
  </si>
  <si>
    <t>115,24
10,67</t>
  </si>
  <si>
    <t>12.51. Устройство кровли из металлочерепицы (с отделочным покрытием): ОЗП=15,9; ЭМ=11,31; ЗПМ=15,9; МАТ=3,9</t>
  </si>
  <si>
    <t>8539
1113</t>
  </si>
  <si>
    <t>38,53
0,79</t>
  </si>
  <si>
    <t>201,9
4,14</t>
  </si>
  <si>
    <t>Устройство кровли из металлочерепицы по готовым прогонам: простая кровля</t>
  </si>
  <si>
    <t>ФССЦ-101-4136</t>
  </si>
  <si>
    <t>Металлочерепица «Монтеррей»; МАТ=3,726</t>
  </si>
  <si>
    <t>Металлочерепица «Монтеррей»</t>
  </si>
  <si>
    <t>ФССЦ-101-3859</t>
  </si>
  <si>
    <t>4,78412
524*8,3*1,1/1000</t>
  </si>
  <si>
    <t>Профилированный настил оцинкованный: С44-1000-0,7; МАТ=4,335</t>
  </si>
  <si>
    <t>Профилированный настил оцинкованный: С44-1000-0,7</t>
  </si>
  <si>
    <t>ФССЦ-101-3741</t>
  </si>
  <si>
    <t>0,5876
0,42488+0,16272</t>
  </si>
  <si>
    <t>Сталь листовая оцинкованная толщиной листа: 0,55 мм; МАТ=3,688</t>
  </si>
  <si>
    <t>Сталь листовая оцинкованная толщиной листа: 0,55 мм</t>
  </si>
  <si>
    <t>ФЕР09-05-006-01</t>
  </si>
  <si>
    <t>3,6
3,05</t>
  </si>
  <si>
    <t>9.74 Резка стального профилированного настила: ОЗП=15,9; ЭМ=2,02; ЗПМ=15,9</t>
  </si>
  <si>
    <t>Резка стального профилированного настила</t>
  </si>
  <si>
    <t>1 м реза</t>
  </si>
  <si>
    <t>ФЕР12-01-009-01</t>
  </si>
  <si>
    <t>18952,69
722,92</t>
  </si>
  <si>
    <t>296,15
28,49</t>
  </si>
  <si>
    <t>12.26. Устройство желобов: ОЗП=15,9; ЭМ=11,67; ЗПМ=15,9; МАТ=4,3</t>
  </si>
  <si>
    <t>4295
557</t>
  </si>
  <si>
    <t>84,75
2,11</t>
  </si>
  <si>
    <t>84,07
2,09</t>
  </si>
  <si>
    <t>Устройство желобов: настенных</t>
  </si>
  <si>
    <t>100 м желобов</t>
  </si>
  <si>
    <t>ФССЦ-102-0121</t>
  </si>
  <si>
    <t>Доски обрезные хвойных пород длиной: 2-3,75 м, шириной 75-150 мм, толщиной 44 мм и более, III сорта; МАТ=5,714</t>
  </si>
  <si>
    <t>Доски обрезные хвойных пород длиной: 2-3,75 м, шириной 75-150 мм, толщиной 44 мм и более, III сорта</t>
  </si>
  <si>
    <t>ФССЦ-101-1875</t>
  </si>
  <si>
    <t>Сталь листовая оцинкованная толщиной листа:0,7 мм; МАТ=3,424</t>
  </si>
  <si>
    <t>Сталь листовая оцинкованная толщиной листа: 0,7 мм</t>
  </si>
  <si>
    <t>ФЕР12-01-012-01</t>
  </si>
  <si>
    <t>0,9114
1,86*49/100</t>
  </si>
  <si>
    <t>3147,39
59,1</t>
  </si>
  <si>
    <t>55,38
3,92</t>
  </si>
  <si>
    <t>12.29. Ограждение кровель перилами: ОЗП=15,9; ЭМ=10,13; ЗПМ=15,9; МАТ=7,27</t>
  </si>
  <si>
    <t>638
80</t>
  </si>
  <si>
    <t>6,67
0,29</t>
  </si>
  <si>
    <t>6,08
0,26</t>
  </si>
  <si>
    <t>Ограждение кровель перилами</t>
  </si>
  <si>
    <t>100 м ограждения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</si>
  <si>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</si>
  <si>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МАТ=7,282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</si>
  <si>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</si>
  <si>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Прайс  МеталлПрофиль</t>
  </si>
  <si>
    <t>Ограждение длиной 1860 мм 1800/1,18/5,63=270,95</t>
  </si>
  <si>
    <t>шт</t>
  </si>
  <si>
    <t>0,84
3*28/100</t>
  </si>
  <si>
    <t>598
64</t>
  </si>
  <si>
    <t>5,6
0,24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</si>
  <si>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</si>
  <si>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</si>
  <si>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Снегозадержатель длиной 3000 мм 1800/1,18/5,63=270,95</t>
  </si>
  <si>
    <t>1,47
0,06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</si>
  <si>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</si>
  <si>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</si>
  <si>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</si>
  <si>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МАТ=6,918</t>
  </si>
  <si>
    <t>Трос стальной</t>
  </si>
  <si>
    <t>м</t>
  </si>
  <si>
    <t>ФССЦ-204-0059</t>
  </si>
  <si>
    <t>0,00576
0,00072*8</t>
  </si>
  <si>
    <t>Анкерные детали из прямых или гнутых круглых стержней с резьбой (в комплекте с шайбами и гайками или без них), поставляемые отдельно; МАТ=4,356</t>
  </si>
  <si>
    <t>Анкерные детали из прямых или гнутых круглых стержней с резьбой (в комплекте с шайбами и гайками или без них): поставляемые отдельно</t>
  </si>
  <si>
    <t>101
16</t>
  </si>
  <si>
    <t>1
0,04</t>
  </si>
  <si>
    <t>Устройство переходных лестниц  на кровле</t>
  </si>
  <si>
    <t>Прайс RS Element</t>
  </si>
  <si>
    <t>Лестница кровельная длиной 5 м (2700+1800)/1,18/5,63=677,36</t>
  </si>
  <si>
    <t>0,0375
0,0125*3</t>
  </si>
  <si>
    <t>0,25
0,01</t>
  </si>
  <si>
    <t>Устройство переходных мостиков  на кровле</t>
  </si>
  <si>
    <t>Прайс  Руффо</t>
  </si>
  <si>
    <t>Переходный мостик 1250 мм 2250/1,18/5,63=338,68</t>
  </si>
  <si>
    <t>ФЕРр58-15-1</t>
  </si>
  <si>
    <t>529,88
521,86</t>
  </si>
  <si>
    <t>84.42 Перенавеска водосточных труб: ОЗП=15,9; МАТ=4,22</t>
  </si>
  <si>
    <t>Перенавеска водосточных труб: с земли, лестниц или подмостей</t>
  </si>
  <si>
    <t>100 м труб</t>
  </si>
  <si>
    <t>ФССЦ-201-1101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</si>
  <si>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</si>
  <si>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мм, марка ТВ-140</t>
  </si>
  <si>
    <t>ФССЦ-301-1104</t>
  </si>
  <si>
    <t>Воронка водосточная из оцинкованной стали толщиной 0,55 диаметром 215 мм; МАТ=8,251</t>
  </si>
  <si>
    <t>Воронка водосточная из оцинкованной стали толщиной 0,55 диаметром 215 мм</t>
  </si>
  <si>
    <t>ФССЦ-201-1102</t>
  </si>
  <si>
    <t>Колено из оцинкованной стали толщиной 0,55 мм, диаметром 140 мм, марка ТВ-140; МАТ=4,013</t>
  </si>
  <si>
    <t>Колено из оцинкованной стали толщиной 0,55 мм, диаметром 140 мм, марка ТВ-140</t>
  </si>
  <si>
    <t>ФССЦ-201-1103</t>
  </si>
  <si>
    <t>Отливы (отметы) из оцинкованной стали толщиной 0,55 мм диаметром 140 мм; МАТ=3,901</t>
  </si>
  <si>
    <t>Отливы (отметы) из оцинкованной стали толщиной 0,55 мм диаметром 140 мм</t>
  </si>
  <si>
    <t>ФССЦ-101-0782</t>
  </si>
  <si>
    <t>0,03888
0,72*54/1000</t>
  </si>
  <si>
    <t>Поковки из квадратных заготовок, масса: 1,8 кг; МАТ=7,299</t>
  </si>
  <si>
    <t>Поковки из квадратных заготовок, масса 1,8 кг хомуты</t>
  </si>
  <si>
    <t>3784
192</t>
  </si>
  <si>
    <t>1294,38
14,45</t>
  </si>
  <si>
    <t>4685
234</t>
  </si>
  <si>
    <t>1461,58
17,62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</si>
  <si>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38, 45, 52, 57, 59, 64, 69, 72, 75, 79, 82, 63)</t>
  </si>
  <si>
    <t>900
42</t>
  </si>
  <si>
    <t>167,1945
3,17</t>
  </si>
  <si>
    <t>52046
3722</t>
  </si>
  <si>
    <t>Итого по разделу 3 Кровля</t>
  </si>
  <si>
    <t>Раздел 4. Вентиляционные шахты</t>
  </si>
  <si>
    <t>ФЕР08-02-001-09</t>
  </si>
  <si>
    <t>913,25
58,83</t>
  </si>
  <si>
    <t>31,1
4,86</t>
  </si>
  <si>
    <t>794
159</t>
  </si>
  <si>
    <t>7,08
0,36</t>
  </si>
  <si>
    <t>11,97
0,61</t>
  </si>
  <si>
    <t>Кладка стен приямков и каналов</t>
  </si>
  <si>
    <t>ФЕР10-01-010-01</t>
  </si>
  <si>
    <t>ФЕР26-01-055-02</t>
  </si>
  <si>
    <t>1532,98
125,51</t>
  </si>
  <si>
    <t>26.76 Установка пароизоляционного слоя из пленки полиэтиленовой: ОЗП=15,9; ЭМ=11,58; ЗПМ=15,9; МАТ=3,22</t>
  </si>
  <si>
    <t>Установка пароизоляционного слоя из: пленки полиэтиленовой (без стекловолокнистых материалов)</t>
  </si>
  <si>
    <t>100 м2 поверхности покрытия изоляции</t>
  </si>
  <si>
    <t>ФССЦ-113-1952</t>
  </si>
  <si>
    <t>Пленка полиэтиленовая толщиной 0,2-0,5 мм, изоловая; МАТ=1,634</t>
  </si>
  <si>
    <t>Пленка полиэтиленовая толщиной: 0,2-0,5 мм, изоловая</t>
  </si>
  <si>
    <t>ФЕР26-01-036-01
МАТ=0</t>
  </si>
  <si>
    <t>141,71
132,33</t>
  </si>
  <si>
    <t>9,38
0,41</t>
  </si>
  <si>
    <t>16,06
0,03</t>
  </si>
  <si>
    <t>8,16
0,02</t>
  </si>
  <si>
    <t>(материалы МАТ=0 к расх.)</t>
  </si>
  <si>
    <t>2,6162
2,54*1,03</t>
  </si>
  <si>
    <t>ФЕР12-01-010-01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</si>
  <si>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</si>
  <si>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</si>
  <si>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ОЗП=15,9; ЭМ=11,91; ЗПМ=15,9; МАТ=3,44</t>
  </si>
  <si>
    <t>274
48</t>
  </si>
  <si>
    <t>112,75
0,2</t>
  </si>
  <si>
    <t>86,82
0,15</t>
  </si>
  <si>
    <t>Устройство мелких покрытий (брандмауэры, парапеты, свесы и т.п.) из листовой оцинкованной стали</t>
  </si>
  <si>
    <t>ФЕР20-02-010-08</t>
  </si>
  <si>
    <t>48,56
32,34</t>
  </si>
  <si>
    <t>7,73
0,14</t>
  </si>
  <si>
    <t>20.25 Установка зонтов над шахтами из листовой и оцинкованной стали: ОЗП=15,9; ЭМ=7,58; ЗПМ=15,9; МАТ=6,54</t>
  </si>
  <si>
    <t>3,65
0,01</t>
  </si>
  <si>
    <t>7,3
0,02</t>
  </si>
  <si>
    <t>НР 98%=128%*(0,85*0,9) от ФОТ</t>
  </si>
  <si>
    <t>СП 56%=83%*(0,8*0,85) от ФОТ</t>
  </si>
  <si>
    <t>Установка зонтов над шахтами из листовой стали прямоугольного сечения периметром : 4000 мм</t>
  </si>
  <si>
    <t>1 зонт</t>
  </si>
  <si>
    <t>ФССЦ-301-0295</t>
  </si>
  <si>
    <t>Зонты вентиляционных систем из листовой оцинкованной стали, прямоугольные, периметром шахты 4000 мм; МАТ=4,143</t>
  </si>
  <si>
    <t>Зонты вентиляционных систем из листовой оцинкованной стали: прямоугольные, периметром шахты 4000 мм</t>
  </si>
  <si>
    <t>ФЕР20-02-010-07</t>
  </si>
  <si>
    <t>42
26,4</t>
  </si>
  <si>
    <t>7,21
0,14</t>
  </si>
  <si>
    <t>273
16</t>
  </si>
  <si>
    <t>2,98
0,01</t>
  </si>
  <si>
    <t>11,92
0,04</t>
  </si>
  <si>
    <t>Установка зонтов над шахтами из листовой стали прямоугольного сечения периметром : 3600 мм</t>
  </si>
  <si>
    <t>ФССЦ-301-0294</t>
  </si>
  <si>
    <t>Зонты вентиляционных систем из листовой оцинкованной стали, прямоугольные, периметром шахты 3600 мм; МАТ=3,442</t>
  </si>
  <si>
    <t>Зонты вентиляционных систем из листовой оцинкованной стали: прямоугольные, периметром шахты 3600 мм</t>
  </si>
  <si>
    <t>ФССЦ-101-1731</t>
  </si>
  <si>
    <t>Сталь полосовая марки Ст0, шириной 70 мм, толщиной 4-5 мм; МАТ=6,238</t>
  </si>
  <si>
    <t>Сталь полосовая, марка стали: Ст0 шириной 70 мм толщиной 4-5 мм</t>
  </si>
  <si>
    <t>ФССЦ-101-3400</t>
  </si>
  <si>
    <t>Дюбель-гвоздь 8x100 мм; МАТ=2,87</t>
  </si>
  <si>
    <t>Дюбель-гвоздь 8х100 мм</t>
  </si>
  <si>
    <t>100 шт.</t>
  </si>
  <si>
    <t>155
11</t>
  </si>
  <si>
    <t>149,81
0,84</t>
  </si>
  <si>
    <t>194
14</t>
  </si>
  <si>
    <t>172,29
1,06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</si>
  <si>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91-93, 98, 96, 101, 104, 106)</t>
  </si>
  <si>
    <t>39
3</t>
  </si>
  <si>
    <t>22,4715
0,21</t>
  </si>
  <si>
    <t>2046
223</t>
  </si>
  <si>
    <t>Итого по разделу 4 Вентиляционные шахты</t>
  </si>
  <si>
    <t>Раздел 5. Утепление фановых труб - 6  шт</t>
  </si>
  <si>
    <t>ФЕРр65-38-1</t>
  </si>
  <si>
    <t>167,86
26,18</t>
  </si>
  <si>
    <t>90.117 Смена частей канализационного стояка над кровлей: патрубка: ОЗП=15,9; МАТ=13,1</t>
  </si>
  <si>
    <t>НР 88%=103%*0,85 от ФОТ</t>
  </si>
  <si>
    <t>СП 48%=60%*0,8 от ФОТ</t>
  </si>
  <si>
    <t>Смена частей канализационного стояка над кровлей: патрубка</t>
  </si>
  <si>
    <t>1 шт.</t>
  </si>
  <si>
    <t>ФССЦ-103-0917</t>
  </si>
  <si>
    <t>Трубы чугунные канализационные длиной 2 м, диаметром:150 мм; МАТ=14,077</t>
  </si>
  <si>
    <t>Трубы чугунные канализационные длиной 2 м, диаметром: 150 мм</t>
  </si>
  <si>
    <t>ФССЦ-302-3341</t>
  </si>
  <si>
    <t>ФССЦ-302-3340 Трубопроводы канализации из полиэтиленовых труб высокой плотности с гильзами, диаметром 110 мм; МАТ=4,454</t>
  </si>
  <si>
    <t>Трубопроводы канализации из полиэтиленовых труб высокой плотности с гильзами, диаметром: 150 мм</t>
  </si>
  <si>
    <t>ФЕР26-01-054-01
МАТ=0</t>
  </si>
  <si>
    <t>326,9
276,31</t>
  </si>
  <si>
    <t>26.73 Обертывание поверхности изоляции рулонными материалами насухо с проклейкой швов: ОЗП=15,9; ЭМ=10,57; ЗПМ=15,9; МАТ=10,43</t>
  </si>
  <si>
    <t>Обертывание поверхности изоляции рулонными материалами насухо с проклейкой швов</t>
  </si>
  <si>
    <t>104-9242-90005</t>
  </si>
  <si>
    <t>42,024
20,4*2*1,03</t>
  </si>
  <si>
    <t>Утеплитель URSA: М 15, толщиной 50 мм 94,05/5,63=16,71</t>
  </si>
  <si>
    <t>ФЕР26-01-053-01</t>
  </si>
  <si>
    <t>10359,57
1265,72</t>
  </si>
  <si>
    <t>26.71 Покрытие изоляции плоских (криволинейных) поверхностей листовым металлом с заготовкой покрытия: ОЗП=15,9; ЭМ=8,14; ЗПМ=15,9; МАТ=3,36</t>
  </si>
  <si>
    <t>Покрытие изоляции плоских (криволинейных) поверхностей листовым металлом с заготовкой покрытия</t>
  </si>
  <si>
    <t>ФССЦ-101-1876</t>
  </si>
  <si>
    <t>Сталь листовая оцинкованная толщиной листа:0,8 мм; МАТ=3,367</t>
  </si>
  <si>
    <t>Сталь листовая оцинкованная толщиной листа: 0,8 мм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</si>
  <si>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113, 118, 116, 121)</t>
  </si>
  <si>
    <t>Итого по разделу 5 Утепление фановых труб - 6  шт</t>
  </si>
  <si>
    <t>Раздел 6. Молниезащита</t>
  </si>
  <si>
    <t>ФЕРм08-02-472-08</t>
  </si>
  <si>
    <t>541,57
188,94</t>
  </si>
  <si>
    <t>51,62
1,49</t>
  </si>
  <si>
    <t>55.352 Проводник заземляющий открыто по строительным основаниям: ОЗП=15,9; ЭМ=8,61; ЗПМ=15,9; МАТ=3,45</t>
  </si>
  <si>
    <t>232
16</t>
  </si>
  <si>
    <t>20,1
0,11</t>
  </si>
  <si>
    <t>10,39
0,06</t>
  </si>
  <si>
    <t>НР 81%=95%*0,85 от ФОТ</t>
  </si>
  <si>
    <t>Проводник заземляющий открыто по строительным основаниям: из круглой стали диаметром 8 мм</t>
  </si>
  <si>
    <t>100 м</t>
  </si>
  <si>
    <t>568
32</t>
  </si>
  <si>
    <t>25,53
0,14</t>
  </si>
  <si>
    <t>ФССЦ-101-1627</t>
  </si>
  <si>
    <t>0,0238
-0,027--0,0508</t>
  </si>
  <si>
    <t>Сталь листовая углеродистая обыкновенного качества марки ВСт3пс5 толщиной:4-6 мм; МАТ=4,507</t>
  </si>
  <si>
    <t>Сталь листовая углеродистая обыкновенного качества марки ВСт3пс5 толщиной: 4-6 мм</t>
  </si>
  <si>
    <t>ФССЦ-101-1613</t>
  </si>
  <si>
    <t>0,06873
0,018565+0,050165</t>
  </si>
  <si>
    <t>Сталь круглая углеродистая обыкновенного качества марки ВСт3пс5-1 диаметром:8 мм; МАТ=3,922</t>
  </si>
  <si>
    <t>Сталь круглая углеродистая обыкновенного качества марки ВСт3пс5-1 диаметром: 8 мм</t>
  </si>
  <si>
    <t>ФЕРм08-02-471-04</t>
  </si>
  <si>
    <t>155,02
77,93</t>
  </si>
  <si>
    <t>51,63
1,89</t>
  </si>
  <si>
    <t>55.349 Заземлители: ОЗП=15,9; ЭМ=8,99; ЗПМ=15,9; МАТ=6,35</t>
  </si>
  <si>
    <t>234
16</t>
  </si>
  <si>
    <t>8,29
0,14</t>
  </si>
  <si>
    <t>4,15
0,07</t>
  </si>
  <si>
    <t>Заземлитель вертикальный из круглой стали диаметром: 16 мм</t>
  </si>
  <si>
    <t>10 шт.</t>
  </si>
  <si>
    <t>ФССЦ-101-1614</t>
  </si>
  <si>
    <t>0,0395
25*1,58/1000</t>
  </si>
  <si>
    <t>Сталь круглая углеродистая обыкновенного качества марки ВСт3пс5-1 диаметром:16 мм; МАТ=3,889</t>
  </si>
  <si>
    <t>Сталь круглая углеродистая обыкновенного качества марки ВСт3пс5-1 диаметром: 16 мм</t>
  </si>
  <si>
    <t>ФЕРм08-02-472-07</t>
  </si>
  <si>
    <t>389,46
200,22</t>
  </si>
  <si>
    <t>82,67
3,38</t>
  </si>
  <si>
    <t>21,3
0,25</t>
  </si>
  <si>
    <t>1,38
0,02</t>
  </si>
  <si>
    <t>Проводник заземляющий открыто по строительным основаниям: из полосовой стали сечением 160 мм2</t>
  </si>
  <si>
    <t>ФЕРм08-02-472-09</t>
  </si>
  <si>
    <t>374,79
200,22</t>
  </si>
  <si>
    <t>69,36
2,57</t>
  </si>
  <si>
    <t>629
48</t>
  </si>
  <si>
    <t>21,3
0,19</t>
  </si>
  <si>
    <t>22,49
0,2</t>
  </si>
  <si>
    <t>Проводник заземляющий открыто по строительным основаниям: из круглой стали диаметром 12 мм</t>
  </si>
  <si>
    <t>0,166848
105,6*1,58/1000</t>
  </si>
  <si>
    <t>Прайс Руссвет</t>
  </si>
  <si>
    <t>Зажим угловой коньковый 100мм ДКС ND2202 154,98/1,18/5,63=23,33</t>
  </si>
  <si>
    <t>Держатель проволоки d8мм кровельный 55мм (пластик) FOREND F21214 281,82/1,18/5,63=42,42</t>
  </si>
  <si>
    <t>139
42+97</t>
  </si>
  <si>
    <t>Держатель фасадный 160мм ДКС ND2301 327,04/1,18/5,63=49,23</t>
  </si>
  <si>
    <t>ФЕР01-02-031-04
применит</t>
  </si>
  <si>
    <t>2416,94
118,56</t>
  </si>
  <si>
    <t>2298,38
192,44</t>
  </si>
  <si>
    <t>1.163 Бурение ям бурильно-крановыми машинами: ОЗП=15,9; ЭМ=6,79; ЗПМ=15,9</t>
  </si>
  <si>
    <t>781
159</t>
  </si>
  <si>
    <t>15,2
16,59</t>
  </si>
  <si>
    <t>0,76
0,83</t>
  </si>
  <si>
    <t>НР 61%=80%*(0,85*0,9) от ФОТ</t>
  </si>
  <si>
    <t>СП 31%=45%*(0,8*0,85) от ФОТ</t>
  </si>
  <si>
    <t>Бурение ям глубиной до 2 м бурильно-крановыми машинами: на автомобиле, группа грунтов 2</t>
  </si>
  <si>
    <t>100 ям</t>
  </si>
  <si>
    <t>ФЕР13-03-002-04</t>
  </si>
  <si>
    <t>268,7
56,55</t>
  </si>
  <si>
    <t>9,43
0,1</t>
  </si>
  <si>
    <t>13.39. Огрунтовка металлических поверхностей за один раз: грунтовкой ГФ-021: ОЗП=15,9; ЭМ=11,05; ЗПМ=15,9; МАТ=4,81</t>
  </si>
  <si>
    <t>5,31
0,01</t>
  </si>
  <si>
    <t>Огрунтовка металлических поверхностей за один раз: грунтовкой ГФ-021</t>
  </si>
  <si>
    <t>100 м2 окрашиваемой поверхности</t>
  </si>
  <si>
    <t>ФЕР13-03-004-26
ПЗ=2
ОЗП=2
ЭМ=2
ЗПМ=2
МАТ=2
ТЗ=2
ТЗМ=2</t>
  </si>
  <si>
    <t>644,48
69,48</t>
  </si>
  <si>
    <t>12,44
0,2</t>
  </si>
  <si>
    <t>13.100 Окраска металлических огрунтованных поверхностей: эмалью ПФ-115: ОЗП=15,9; ЭМ=10,87; ЗПМ=15,9; МАТ=6,04</t>
  </si>
  <si>
    <t>7,66
0,02</t>
  </si>
  <si>
    <t>(За 2 раза ПЗ=2 (ОЗП=2; ЭМ=2 к расх.; ЗПМ=2; МАТ=2 к расх.; ТЗ=2; ТЗМ=2))</t>
  </si>
  <si>
    <t>Окраска металлических огрунтованных поверхностей: эмалью ПФ-115</t>
  </si>
  <si>
    <t>316
17</t>
  </si>
  <si>
    <t>66,9
1,32</t>
  </si>
  <si>
    <t>318
17</t>
  </si>
  <si>
    <t>67,24
1,32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</si>
  <si>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139-140)</t>
  </si>
  <si>
    <t>2554
271</t>
  </si>
  <si>
    <t>Итого по разделу 6 Молниезащита</t>
  </si>
  <si>
    <t>Раздел 7. Вывоз мусора</t>
  </si>
  <si>
    <t>ФССЦпг01-01-01-041</t>
  </si>
  <si>
    <t>2,4024
80,08*0,03</t>
  </si>
  <si>
    <t>42,98
42,98</t>
  </si>
  <si>
    <t>Мусор строительный, вручную: погрузка: ОЗП=10,75; ЭМ=10,75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</si>
  <si>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</si>
  <si>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</si>
  <si>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</si>
  <si>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</si>
  <si>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</si>
  <si>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77,6776
80,08*0,97</t>
  </si>
  <si>
    <t>Мусор строительный, экскаваторами емк,ковша 0,5 м3: погрузка; ЭМ=11,52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</si>
  <si>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</si>
  <si>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</si>
  <si>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ЭМ=9,82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</si>
  <si>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</si>
  <si>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7 Вывоз мусора</t>
  </si>
  <si>
    <t>Итого прямые затраты по смете в ценах 2001г.</t>
  </si>
  <si>
    <t>9153
610</t>
  </si>
  <si>
    <t>2942,07
48,43</t>
  </si>
  <si>
    <t>Итого прямые затраты по смете с учетом коэффициентов к итогам</t>
  </si>
  <si>
    <t>10847
703</t>
  </si>
  <si>
    <t>3259,99
55,4</t>
  </si>
  <si>
    <t>Итого прямые затраты по смете с учетом индексов, в текущих ценах</t>
  </si>
  <si>
    <t>111165
11181</t>
  </si>
  <si>
    <t>Итоги по смете:</t>
  </si>
  <si>
    <t xml:space="preserve">  Итого Строительные работы</t>
  </si>
  <si>
    <t>3196,05
54,91</t>
  </si>
  <si>
    <t xml:space="preserve">  Итого Монтажные работы</t>
  </si>
  <si>
    <t>63,94
0,49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</si>
  <si>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</si>
  <si>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</si>
  <si>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</si>
  <si>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</si>
  <si>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</si>
  <si>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</si>
  <si>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</si>
  <si>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</si>
  <si>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2016 года</t>
  </si>
  <si>
    <t>Стоимость единицы                                        (в базисном уровне цен с учетом всех коэффициентов к позиции)</t>
  </si>
  <si>
    <t>Общая стоимость                                                                    (в текущем уровне цен)</t>
  </si>
  <si>
    <t>Капитальный ремонт крыши в многоквартирном доме, расположенном по адресу: Томская область, Томский район, с. Кафтанчиково, ул. Коммунистическая, д. 90</t>
  </si>
  <si>
    <t>на Капитальный  ремонт крыши</t>
  </si>
  <si>
    <t>Составила:____________________________</t>
  </si>
  <si>
    <t>Проведена проверка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</si>
</sst>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0" xfId="0" applyFont="1" applyBorder="1" applyAlignment="1"/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1" fillId="0" borderId="0" xfId="0" applyFont="1" applyAlignment="1">
      <alignment horizontal="center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36"/>
  <sheetViews>
    <sheetView showGridLines="0" tabSelected="1" zoomScale="101" zoomScaleNormal="101" workbookViewId="0">
      <selection activeCell="C8" sqref="C8"/>
    </sheetView>
  </sheetViews>
  <sheetFormatPr defaultColWidth="9.109375" defaultRowHeight="13.2" x14ac:dyDescent="0.25"/>
  <cols>
    <col min="1" max="1" width="5.33203125" style="3" customWidth="1"/>
    <col min="2" max="2" width="14.44140625" style="3" customWidth="1"/>
    <col min="3" max="3" width="35.77734375" style="3" customWidth="1"/>
    <col min="4" max="4" width="10.21875" style="3" customWidth="1"/>
    <col min="5" max="5" width="9.6640625" style="32" customWidth="1"/>
    <col min="6" max="6" width="8.88671875" style="32" customWidth="1"/>
    <col min="7" max="7" width="0.109375" style="32" hidden="1" customWidth="1"/>
    <col min="8" max="8" width="25.33203125" style="32" customWidth="1"/>
    <col min="9" max="9" width="9.6640625" style="32" customWidth="1"/>
    <col min="10" max="10" width="8.109375" style="32" customWidth="1"/>
    <col min="11" max="11" width="8.6640625" style="32" customWidth="1"/>
    <col min="12" max="12" width="8.88671875" style="32" hidden="1" customWidth="1"/>
    <col min="13" max="13" width="7.6640625" style="32" customWidth="1"/>
    <col min="14" max="14" width="8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16384" width="9.109375" style="2"/>
  </cols>
  <sheetData>
    <row r="1" spans="1:14" s="1" customFormat="1" x14ac:dyDescent="0.25">
      <c r="A1" s="14"/>
      <c r="B1" s="19"/>
      <c r="C1" s="14"/>
      <c r="E1" s="20"/>
      <c r="F1" s="21" t="s">
        <v>663</v>
      </c>
      <c r="G1" s="20"/>
      <c r="H1" s="22"/>
      <c r="I1" s="14"/>
      <c r="J1" s="14"/>
      <c r="K1" s="14"/>
      <c r="L1" s="14"/>
      <c r="M1" s="14"/>
    </row>
    <row r="2" spans="1:14" s="1" customFormat="1" x14ac:dyDescent="0.25">
      <c r="A2" s="7" t="s">
        <v>5</v>
      </c>
      <c r="B2" s="19"/>
      <c r="D2" s="22"/>
      <c r="F2" s="30" t="s">
        <v>1</v>
      </c>
      <c r="G2" s="30"/>
      <c r="J2" s="7"/>
      <c r="L2" s="7"/>
      <c r="M2" s="14"/>
      <c r="N2" s="23" t="s">
        <v>6</v>
      </c>
    </row>
    <row r="3" spans="1:14" s="1" customFormat="1" x14ac:dyDescent="0.25">
      <c r="A3" s="24" t="s">
        <v>7</v>
      </c>
      <c r="E3" s="14"/>
      <c r="F3" s="14"/>
      <c r="G3" s="14"/>
      <c r="H3" s="14"/>
      <c r="J3" s="7"/>
      <c r="L3" s="7"/>
      <c r="M3" s="14"/>
      <c r="N3" s="25" t="s">
        <v>0</v>
      </c>
    </row>
    <row r="4" spans="1:14" s="1" customFormat="1" ht="51" customHeight="1" x14ac:dyDescent="0.25">
      <c r="A4" s="91" t="s">
        <v>23</v>
      </c>
      <c r="B4" s="91"/>
      <c r="C4" s="91"/>
      <c r="F4" s="26" t="s">
        <v>24</v>
      </c>
      <c r="G4" s="14"/>
      <c r="I4" s="92" t="s">
        <v>23</v>
      </c>
      <c r="J4" s="92"/>
      <c r="K4" s="92"/>
      <c r="L4" s="92"/>
      <c r="M4" s="92"/>
      <c r="N4" s="92"/>
    </row>
    <row r="5" spans="1:14" s="1" customFormat="1" x14ac:dyDescent="0.25">
      <c r="A5" s="14"/>
      <c r="B5" s="14"/>
      <c r="C5" s="14"/>
      <c r="F5" s="14" t="s">
        <v>2</v>
      </c>
      <c r="G5" s="14"/>
      <c r="I5" s="14"/>
      <c r="J5" s="14"/>
      <c r="K5" s="14"/>
      <c r="L5" s="14"/>
      <c r="M5" s="14"/>
    </row>
    <row r="6" spans="1:14" s="1" customFormat="1" x14ac:dyDescent="0.25">
      <c r="A6" s="14"/>
      <c r="B6" s="14"/>
      <c r="C6" s="14"/>
      <c r="E6" s="14"/>
      <c r="F6" s="14"/>
      <c r="G6" s="14"/>
      <c r="H6" s="14"/>
      <c r="I6" s="14"/>
      <c r="J6" s="14"/>
      <c r="K6" s="14"/>
      <c r="L6" s="14"/>
      <c r="M6" s="14"/>
    </row>
    <row r="7" spans="1:14" s="1" customFormat="1" x14ac:dyDescent="0.25">
      <c r="A7" s="14"/>
      <c r="B7" s="14"/>
      <c r="C7" s="27"/>
      <c r="D7" s="28" t="s">
        <v>664</v>
      </c>
      <c r="E7" s="29"/>
      <c r="F7" s="29"/>
      <c r="G7" s="29"/>
      <c r="H7" s="29"/>
      <c r="I7" s="30"/>
      <c r="J7" s="30"/>
      <c r="K7" s="30"/>
      <c r="L7" s="30"/>
      <c r="M7" s="14"/>
    </row>
    <row r="8" spans="1:14" s="1" customFormat="1" x14ac:dyDescent="0.25">
      <c r="A8" s="14"/>
      <c r="B8" s="14"/>
      <c r="C8" s="14"/>
      <c r="D8" s="31" t="s">
        <v>21</v>
      </c>
      <c r="E8" s="30"/>
      <c r="F8" s="30"/>
      <c r="G8" s="30"/>
      <c r="I8" s="30"/>
      <c r="J8" s="30"/>
      <c r="K8" s="30"/>
      <c r="L8" s="30"/>
      <c r="M8" s="14"/>
    </row>
    <row r="9" spans="1:14" s="1" customFormat="1" ht="7.5" customHeight="1" x14ac:dyDescent="0.25">
      <c r="A9" s="14"/>
      <c r="B9" s="14"/>
      <c r="C9" s="14"/>
      <c r="E9" s="14"/>
      <c r="F9" s="14"/>
      <c r="G9" s="14"/>
      <c r="H9" s="14"/>
      <c r="I9" s="14"/>
      <c r="J9" s="14"/>
      <c r="M9" s="14"/>
    </row>
    <row r="10" spans="1:14" x14ac:dyDescent="0.25">
      <c r="A10" s="76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5" t="s">
        <v>10</v>
      </c>
      <c r="B11" s="6"/>
      <c r="C11" s="77">
        <v>2684673</v>
      </c>
      <c r="D11" s="77"/>
      <c r="E11" s="77"/>
      <c r="F11" s="7" t="s">
        <v>9</v>
      </c>
      <c r="G11" s="8"/>
      <c r="H11" s="8"/>
      <c r="I11" s="8"/>
      <c r="J11" s="8"/>
    </row>
    <row r="12" spans="1:14" x14ac:dyDescent="0.25">
      <c r="A12" s="5" t="s">
        <v>20</v>
      </c>
      <c r="B12" s="6"/>
      <c r="C12" s="9"/>
      <c r="D12" s="78">
        <v>464199</v>
      </c>
      <c r="E12" s="78"/>
      <c r="F12" s="7" t="s">
        <v>9</v>
      </c>
      <c r="G12" s="8"/>
      <c r="H12" s="93" t="s">
        <v>666</v>
      </c>
      <c r="I12" s="93"/>
      <c r="J12" s="93"/>
      <c r="K12" s="93"/>
      <c r="L12" s="93"/>
      <c r="M12" s="93"/>
      <c r="N12" s="93"/>
    </row>
    <row r="13" spans="1:14" x14ac:dyDescent="0.25">
      <c r="A13" s="5" t="s">
        <v>660</v>
      </c>
      <c r="B13" s="2"/>
      <c r="C13" s="10"/>
      <c r="D13" s="11"/>
      <c r="E13" s="12"/>
      <c r="F13" s="33"/>
      <c r="G13" s="13"/>
      <c r="H13" s="13"/>
      <c r="I13" s="8"/>
      <c r="J13" s="8"/>
    </row>
    <row r="14" spans="1:14" ht="11.25" customHeight="1" x14ac:dyDescent="0.25">
      <c r="A14" s="14"/>
      <c r="B14" s="7"/>
      <c r="C14" s="7"/>
      <c r="D14" s="14"/>
      <c r="E14" s="8"/>
      <c r="F14" s="8"/>
      <c r="G14" s="8"/>
      <c r="H14" s="9"/>
      <c r="I14" s="8"/>
      <c r="J14" s="8"/>
      <c r="K14" s="8"/>
      <c r="L14" s="8"/>
      <c r="M14" s="8"/>
      <c r="N14" s="2" t="s">
        <v>9</v>
      </c>
    </row>
    <row r="15" spans="1:14" ht="12.75" customHeight="1" x14ac:dyDescent="0.25">
      <c r="A15" s="75" t="s">
        <v>3</v>
      </c>
      <c r="B15" s="75" t="s">
        <v>17</v>
      </c>
      <c r="C15" s="72" t="s">
        <v>22</v>
      </c>
      <c r="D15" s="72" t="s">
        <v>18</v>
      </c>
      <c r="E15" s="83" t="s">
        <v>661</v>
      </c>
      <c r="F15" s="84"/>
      <c r="G15" s="85"/>
      <c r="H15" s="72" t="s">
        <v>4</v>
      </c>
      <c r="I15" s="83" t="s">
        <v>662</v>
      </c>
      <c r="J15" s="89"/>
      <c r="K15" s="89"/>
      <c r="L15" s="80"/>
      <c r="M15" s="79" t="s">
        <v>19</v>
      </c>
      <c r="N15" s="80"/>
    </row>
    <row r="16" spans="1:14" s="4" customFormat="1" ht="38.25" customHeight="1" x14ac:dyDescent="0.25">
      <c r="A16" s="73"/>
      <c r="B16" s="73"/>
      <c r="C16" s="73"/>
      <c r="D16" s="73"/>
      <c r="E16" s="86"/>
      <c r="F16" s="87"/>
      <c r="G16" s="88"/>
      <c r="H16" s="73"/>
      <c r="I16" s="81"/>
      <c r="J16" s="90"/>
      <c r="K16" s="90"/>
      <c r="L16" s="82"/>
      <c r="M16" s="81"/>
      <c r="N16" s="82"/>
    </row>
    <row r="17" spans="1:35" s="4" customFormat="1" ht="12.75" customHeight="1" x14ac:dyDescent="0.25">
      <c r="A17" s="73"/>
      <c r="B17" s="73"/>
      <c r="C17" s="73"/>
      <c r="D17" s="73"/>
      <c r="E17" s="34" t="s">
        <v>12</v>
      </c>
      <c r="F17" s="34" t="s">
        <v>14</v>
      </c>
      <c r="G17" s="72" t="s">
        <v>16</v>
      </c>
      <c r="H17" s="73"/>
      <c r="I17" s="72" t="s">
        <v>12</v>
      </c>
      <c r="J17" s="72" t="s">
        <v>15</v>
      </c>
      <c r="K17" s="34" t="s">
        <v>14</v>
      </c>
      <c r="L17" s="72" t="s">
        <v>16</v>
      </c>
      <c r="M17" s="75" t="s">
        <v>8</v>
      </c>
      <c r="N17" s="72" t="s">
        <v>12</v>
      </c>
    </row>
    <row r="18" spans="1:35" s="4" customFormat="1" ht="11.25" customHeight="1" x14ac:dyDescent="0.25">
      <c r="A18" s="74"/>
      <c r="B18" s="74"/>
      <c r="C18" s="74"/>
      <c r="D18" s="74"/>
      <c r="E18" s="35" t="s">
        <v>11</v>
      </c>
      <c r="F18" s="34" t="s">
        <v>13</v>
      </c>
      <c r="G18" s="74"/>
      <c r="H18" s="74"/>
      <c r="I18" s="74"/>
      <c r="J18" s="74"/>
      <c r="K18" s="34" t="s">
        <v>13</v>
      </c>
      <c r="L18" s="74"/>
      <c r="M18" s="74"/>
      <c r="N18" s="74"/>
    </row>
    <row r="19" spans="1:35" x14ac:dyDescent="0.25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7</v>
      </c>
      <c r="I19" s="40">
        <v>8</v>
      </c>
      <c r="J19" s="40">
        <v>9</v>
      </c>
      <c r="K19" s="40">
        <v>10</v>
      </c>
      <c r="L19" s="40">
        <v>12</v>
      </c>
      <c r="M19" s="40">
        <v>11</v>
      </c>
      <c r="N19" s="40">
        <v>12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41"/>
      <c r="AB19" s="42"/>
      <c r="AC19" s="42"/>
      <c r="AD19" s="42"/>
      <c r="AE19" s="42"/>
      <c r="AF19" s="43"/>
      <c r="AG19" s="42"/>
      <c r="AH19" s="42"/>
      <c r="AI19" s="42"/>
    </row>
    <row r="20" spans="1:35" ht="21" customHeight="1" x14ac:dyDescent="0.25">
      <c r="A20" s="70" t="s">
        <v>27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132" x14ac:dyDescent="0.25">
      <c r="A21" s="44">
        <v>1</v>
      </c>
      <c r="B21" s="45" t="s">
        <v>28</v>
      </c>
      <c r="C21" s="46" t="str">
        <f t="shared" ref="C21:C31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 540*0,014=7,56 т
100 м2 покрытия
8949 руб. НР 84%=110%*(0,85*0,9) от ФОТ (10653 руб.)
5113 руб.СП 48%=70%*(0,8*0,85) от ФОТ (10653 руб.)
</v>
      </c>
      <c r="D21" s="44">
        <v>5.4</v>
      </c>
      <c r="E21" s="47" t="s">
        <v>29</v>
      </c>
      <c r="F21" s="47">
        <v>30.64</v>
      </c>
      <c r="G21" s="47"/>
      <c r="H21" s="58" t="s">
        <v>30</v>
      </c>
      <c r="I21" s="48">
        <v>11150</v>
      </c>
      <c r="J21" s="47">
        <v>10653</v>
      </c>
      <c r="K21" s="47">
        <v>497</v>
      </c>
      <c r="L21" s="47" t="str">
        <f>IF(5.4*0=0," ",TEXT(,ROUND((5.4*0*1),2)))</f>
        <v xml:space="preserve"> </v>
      </c>
      <c r="M21" s="47">
        <v>15.9</v>
      </c>
      <c r="N21" s="47">
        <v>85.86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 t="s">
        <v>31</v>
      </c>
      <c r="AB21" s="50" t="s">
        <v>32</v>
      </c>
      <c r="AC21" s="50">
        <v>8949</v>
      </c>
      <c r="AD21" s="50">
        <v>5113</v>
      </c>
      <c r="AE21" s="50"/>
      <c r="AF21" s="51" t="s">
        <v>33</v>
      </c>
      <c r="AG21" s="50" t="s">
        <v>34</v>
      </c>
      <c r="AH21" s="50"/>
      <c r="AI21" s="50">
        <f>10653+0</f>
        <v>10653</v>
      </c>
    </row>
    <row r="22" spans="1:35" ht="132" x14ac:dyDescent="0.25">
      <c r="A22" s="44">
        <v>2</v>
      </c>
      <c r="B22" s="45" t="s">
        <v>35</v>
      </c>
      <c r="C22" s="46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790 руб. НР 71%=83%*0,85 от ФОТ (1113 руб.)
579 руб.СП 52%=65%*0,8 от ФОТ (1113 руб.)
</v>
      </c>
      <c r="D22" s="44">
        <v>0.99099999999999999</v>
      </c>
      <c r="E22" s="47" t="s">
        <v>36</v>
      </c>
      <c r="F22" s="47">
        <v>0.2</v>
      </c>
      <c r="G22" s="47"/>
      <c r="H22" s="58" t="s">
        <v>37</v>
      </c>
      <c r="I22" s="48">
        <v>1114</v>
      </c>
      <c r="J22" s="47">
        <v>1113</v>
      </c>
      <c r="K22" s="47"/>
      <c r="L22" s="47" t="str">
        <f>IF(0.991*0=0," ",TEXT(,ROUND((0.991*0*1),2)))</f>
        <v xml:space="preserve"> </v>
      </c>
      <c r="M22" s="47">
        <v>9.1</v>
      </c>
      <c r="N22" s="47">
        <v>9.02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 t="s">
        <v>38</v>
      </c>
      <c r="AB22" s="50" t="s">
        <v>39</v>
      </c>
      <c r="AC22" s="50">
        <v>790</v>
      </c>
      <c r="AD22" s="50">
        <v>579</v>
      </c>
      <c r="AE22" s="50"/>
      <c r="AF22" s="51" t="s">
        <v>40</v>
      </c>
      <c r="AG22" s="50" t="s">
        <v>41</v>
      </c>
      <c r="AH22" s="50"/>
      <c r="AI22" s="50">
        <f>1113+0</f>
        <v>1113</v>
      </c>
    </row>
    <row r="23" spans="1:35" ht="132" x14ac:dyDescent="0.25">
      <c r="A23" s="44">
        <v>3</v>
      </c>
      <c r="B23" s="45" t="s">
        <v>42</v>
      </c>
      <c r="C23" s="46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395 руб. НР 71%=83%*0,85 от ФОТ (557 руб.)
290 руб.СП 52%=65%*0,8 от ФОТ (557 руб.)
</v>
      </c>
      <c r="D23" s="44" t="s">
        <v>43</v>
      </c>
      <c r="E23" s="47" t="s">
        <v>36</v>
      </c>
      <c r="F23" s="47">
        <v>0.2</v>
      </c>
      <c r="G23" s="47"/>
      <c r="H23" s="58" t="s">
        <v>37</v>
      </c>
      <c r="I23" s="48">
        <v>557</v>
      </c>
      <c r="J23" s="47">
        <v>557</v>
      </c>
      <c r="K23" s="47"/>
      <c r="L23" s="47" t="str">
        <f>IF(0.49*0=0," ",TEXT(,ROUND((0.49*0*1),2)))</f>
        <v xml:space="preserve"> </v>
      </c>
      <c r="M23" s="47">
        <v>9.1</v>
      </c>
      <c r="N23" s="47">
        <v>4.46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 t="s">
        <v>38</v>
      </c>
      <c r="AB23" s="50" t="s">
        <v>39</v>
      </c>
      <c r="AC23" s="50">
        <v>395</v>
      </c>
      <c r="AD23" s="50">
        <v>290</v>
      </c>
      <c r="AE23" s="50"/>
      <c r="AF23" s="51" t="s">
        <v>40</v>
      </c>
      <c r="AG23" s="50" t="s">
        <v>41</v>
      </c>
      <c r="AH23" s="50"/>
      <c r="AI23" s="50">
        <f>557+0</f>
        <v>557</v>
      </c>
    </row>
    <row r="24" spans="1:35" ht="118.8" x14ac:dyDescent="0.25">
      <c r="A24" s="44">
        <v>4</v>
      </c>
      <c r="B24" s="45" t="s">
        <v>44</v>
      </c>
      <c r="C24" s="46" t="str">
        <f t="shared" ca="1" si="0"/>
        <v xml:space="preserve">Разборка слуховых окон: прямоугольных односкатных
100 окон
553 руб. НР 71%=83%*0,85 от ФОТ (779 руб.)
405 руб.СП 52%=65%*0,8 от ФОТ (779 руб.)
</v>
      </c>
      <c r="D24" s="44">
        <v>0.02</v>
      </c>
      <c r="E24" s="47" t="s">
        <v>45</v>
      </c>
      <c r="F24" s="47">
        <v>10.37</v>
      </c>
      <c r="G24" s="47"/>
      <c r="H24" s="58" t="s">
        <v>46</v>
      </c>
      <c r="I24" s="48">
        <v>779</v>
      </c>
      <c r="J24" s="47">
        <v>779</v>
      </c>
      <c r="K24" s="47"/>
      <c r="L24" s="47" t="str">
        <f>IF(0.02*0=0," ",TEXT(,ROUND((0.02*0*1),2)))</f>
        <v xml:space="preserve"> </v>
      </c>
      <c r="M24" s="47">
        <v>309.3</v>
      </c>
      <c r="N24" s="47">
        <v>6.19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 t="s">
        <v>38</v>
      </c>
      <c r="AB24" s="50" t="s">
        <v>39</v>
      </c>
      <c r="AC24" s="50">
        <v>553</v>
      </c>
      <c r="AD24" s="50">
        <v>405</v>
      </c>
      <c r="AE24" s="50"/>
      <c r="AF24" s="51" t="s">
        <v>47</v>
      </c>
      <c r="AG24" s="50" t="s">
        <v>48</v>
      </c>
      <c r="AH24" s="50"/>
      <c r="AI24" s="50">
        <f>779+0</f>
        <v>779</v>
      </c>
    </row>
    <row r="25" spans="1:35" ht="132" x14ac:dyDescent="0.25">
      <c r="A25" s="44">
        <v>5</v>
      </c>
      <c r="B25" s="45" t="s">
        <v>49</v>
      </c>
      <c r="C25" s="46" t="str">
        <f t="shared" ca="1" si="0"/>
        <v xml:space="preserve">Разборка деревянных элементов конструкций крыш: обрешетки из брусков с прозорами
100 м2 кровли
7722 руб. НР 71%=83%*0,85 от ФОТ (10876 руб.)
5656 руб.СП 52%=65%*0,8 от ФОТ (10876 руб.)
</v>
      </c>
      <c r="D25" s="44">
        <v>5.4</v>
      </c>
      <c r="E25" s="47" t="s">
        <v>50</v>
      </c>
      <c r="F25" s="47" t="s">
        <v>51</v>
      </c>
      <c r="G25" s="47"/>
      <c r="H25" s="58" t="s">
        <v>52</v>
      </c>
      <c r="I25" s="48">
        <v>12921</v>
      </c>
      <c r="J25" s="47">
        <v>10335</v>
      </c>
      <c r="K25" s="47" t="s">
        <v>53</v>
      </c>
      <c r="L25" s="47" t="str">
        <f>IF(5.4*0=0," ",TEXT(,ROUND((5.4*0*1),2)))</f>
        <v xml:space="preserve"> </v>
      </c>
      <c r="M25" s="47" t="s">
        <v>54</v>
      </c>
      <c r="N25" s="47" t="s">
        <v>55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 t="s">
        <v>38</v>
      </c>
      <c r="AB25" s="50" t="s">
        <v>39</v>
      </c>
      <c r="AC25" s="50">
        <v>7722</v>
      </c>
      <c r="AD25" s="50">
        <v>5656</v>
      </c>
      <c r="AE25" s="50"/>
      <c r="AF25" s="51" t="s">
        <v>56</v>
      </c>
      <c r="AG25" s="50" t="s">
        <v>57</v>
      </c>
      <c r="AH25" s="50"/>
      <c r="AI25" s="50">
        <f>10335+541</f>
        <v>10876</v>
      </c>
    </row>
    <row r="26" spans="1:35" ht="132" x14ac:dyDescent="0.25">
      <c r="A26" s="44">
        <v>6</v>
      </c>
      <c r="B26" s="45" t="s">
        <v>58</v>
      </c>
      <c r="C26" s="46" t="str">
        <f t="shared" ca="1" si="0"/>
        <v xml:space="preserve">Разборка деревянных элементов конструкций крыш: стропил со стойками и подкосами из досок
100 м2 кровли
11425 руб. НР 71%=83%*0,85 от ФОТ (16091 руб.)
8367 руб.СП 52%=65%*0,8 от ФОТ (16091 руб.)
</v>
      </c>
      <c r="D26" s="44">
        <v>5.4</v>
      </c>
      <c r="E26" s="47" t="s">
        <v>59</v>
      </c>
      <c r="F26" s="47" t="s">
        <v>60</v>
      </c>
      <c r="G26" s="47"/>
      <c r="H26" s="58" t="s">
        <v>52</v>
      </c>
      <c r="I26" s="48">
        <v>17381</v>
      </c>
      <c r="J26" s="47">
        <v>15757</v>
      </c>
      <c r="K26" s="47" t="s">
        <v>61</v>
      </c>
      <c r="L26" s="47" t="str">
        <f>IF(5.4*0=0," ",TEXT(,ROUND((5.4*0*1),2)))</f>
        <v xml:space="preserve"> </v>
      </c>
      <c r="M26" s="47" t="s">
        <v>62</v>
      </c>
      <c r="N26" s="47" t="s">
        <v>63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 t="s">
        <v>38</v>
      </c>
      <c r="AB26" s="50" t="s">
        <v>39</v>
      </c>
      <c r="AC26" s="50">
        <v>11425</v>
      </c>
      <c r="AD26" s="50">
        <v>8367</v>
      </c>
      <c r="AE26" s="50"/>
      <c r="AF26" s="51" t="s">
        <v>64</v>
      </c>
      <c r="AG26" s="50" t="s">
        <v>57</v>
      </c>
      <c r="AH26" s="50"/>
      <c r="AI26" s="50">
        <f>15757+334</f>
        <v>16091</v>
      </c>
    </row>
    <row r="27" spans="1:35" ht="118.8" x14ac:dyDescent="0.25">
      <c r="A27" s="44">
        <v>7</v>
      </c>
      <c r="B27" s="45" t="s">
        <v>65</v>
      </c>
      <c r="C27" s="46" t="str">
        <f t="shared" ca="1" si="0"/>
        <v xml:space="preserve">Разборка деревянных элементов конструкций крыш: мауэрлатов
100 м2 кровли
3488 руб. НР 71%=83%*0,85 от ФОТ (4913 руб.)
2555 руб.СП 52%=65%*0,8 от ФОТ (4913 руб.)
</v>
      </c>
      <c r="D27" s="44">
        <v>5.4</v>
      </c>
      <c r="E27" s="47" t="s">
        <v>66</v>
      </c>
      <c r="F27" s="47" t="s">
        <v>67</v>
      </c>
      <c r="G27" s="47"/>
      <c r="H27" s="58" t="s">
        <v>52</v>
      </c>
      <c r="I27" s="48">
        <v>6111</v>
      </c>
      <c r="J27" s="47">
        <v>4595</v>
      </c>
      <c r="K27" s="47" t="s">
        <v>68</v>
      </c>
      <c r="L27" s="47" t="str">
        <f>IF(5.4*0=0," ",TEXT(,ROUND((5.4*0*1),2)))</f>
        <v xml:space="preserve"> </v>
      </c>
      <c r="M27" s="47" t="s">
        <v>69</v>
      </c>
      <c r="N27" s="47" t="s">
        <v>70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 t="s">
        <v>38</v>
      </c>
      <c r="AB27" s="50" t="s">
        <v>39</v>
      </c>
      <c r="AC27" s="50">
        <v>3488</v>
      </c>
      <c r="AD27" s="50">
        <v>2555</v>
      </c>
      <c r="AE27" s="50"/>
      <c r="AF27" s="51" t="s">
        <v>71</v>
      </c>
      <c r="AG27" s="50" t="s">
        <v>57</v>
      </c>
      <c r="AH27" s="50"/>
      <c r="AI27" s="50">
        <f>4595+318</f>
        <v>4913</v>
      </c>
    </row>
    <row r="28" spans="1:35" ht="105.6" x14ac:dyDescent="0.25">
      <c r="A28" s="44">
        <v>8</v>
      </c>
      <c r="B28" s="45" t="s">
        <v>72</v>
      </c>
      <c r="C28" s="46" t="str">
        <f t="shared" ca="1" si="0"/>
        <v xml:space="preserve">Разборка парапетных решеток
100 м парапетных решеток
1196 руб. НР 71%=83%*0,85 от ФОТ (1685 руб.)
876 руб.СП 52%=65%*0,8 от ФОТ (1685 руб.)
</v>
      </c>
      <c r="D28" s="44">
        <v>0.91</v>
      </c>
      <c r="E28" s="47" t="s">
        <v>73</v>
      </c>
      <c r="F28" s="47">
        <v>1.62</v>
      </c>
      <c r="G28" s="47"/>
      <c r="H28" s="58" t="s">
        <v>74</v>
      </c>
      <c r="I28" s="48">
        <v>1690</v>
      </c>
      <c r="J28" s="47">
        <v>1685</v>
      </c>
      <c r="K28" s="47">
        <v>5</v>
      </c>
      <c r="L28" s="47" t="str">
        <f>IF(0.91*0=0," ",TEXT(,ROUND((0.91*0*1),2)))</f>
        <v xml:space="preserve"> </v>
      </c>
      <c r="M28" s="47">
        <v>14.8</v>
      </c>
      <c r="N28" s="47">
        <v>13.47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 t="s">
        <v>38</v>
      </c>
      <c r="AB28" s="50" t="s">
        <v>39</v>
      </c>
      <c r="AC28" s="50">
        <v>1196</v>
      </c>
      <c r="AD28" s="50">
        <v>876</v>
      </c>
      <c r="AE28" s="50"/>
      <c r="AF28" s="51" t="s">
        <v>75</v>
      </c>
      <c r="AG28" s="50" t="s">
        <v>76</v>
      </c>
      <c r="AH28" s="50"/>
      <c r="AI28" s="50">
        <f>1685+0</f>
        <v>1685</v>
      </c>
    </row>
    <row r="29" spans="1:35" ht="171.6" x14ac:dyDescent="0.25">
      <c r="A29" s="44">
        <v>9</v>
      </c>
      <c r="B29" s="45" t="s">
        <v>77</v>
      </c>
      <c r="C29" s="46" t="str">
        <f t="shared" ca="1" si="0"/>
        <v xml:space="preserve">Демонтаж люков в перекрытиях, площадь проема до 2 м2 0,071=0,071 т
100 м2 проемов
(Демонтаж (разборка) сборных деревянных конструкций ОЗП=0,8; ЭМ=0,8 к расх.; ЗПМ=0,8; МАТ=0 к расх.; ТЗ=0,8; ТЗМ=0,8)
100 руб. НР 90%=118%*(0,85*0,9) от ФОТ (111 руб.)
48 руб.СП 43%=63%*(0,8*0,85) от ФОТ (111 руб.)
</v>
      </c>
      <c r="D29" s="44">
        <v>7.1999999999999998E-3</v>
      </c>
      <c r="E29" s="47" t="s">
        <v>78</v>
      </c>
      <c r="F29" s="47" t="s">
        <v>79</v>
      </c>
      <c r="G29" s="47"/>
      <c r="H29" s="58" t="s">
        <v>80</v>
      </c>
      <c r="I29" s="48">
        <v>166</v>
      </c>
      <c r="J29" s="47">
        <v>95</v>
      </c>
      <c r="K29" s="47" t="s">
        <v>81</v>
      </c>
      <c r="L29" s="47" t="str">
        <f>IF(0.0072*0=0," ",TEXT(,ROUND((0.0072*0*5.87),2)))</f>
        <v xml:space="preserve"> </v>
      </c>
      <c r="M29" s="47" t="s">
        <v>82</v>
      </c>
      <c r="N29" s="47" t="s">
        <v>83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 t="s">
        <v>84</v>
      </c>
      <c r="AB29" s="50" t="s">
        <v>85</v>
      </c>
      <c r="AC29" s="50">
        <v>100</v>
      </c>
      <c r="AD29" s="50">
        <v>48</v>
      </c>
      <c r="AE29" s="50" t="s">
        <v>86</v>
      </c>
      <c r="AF29" s="51" t="s">
        <v>87</v>
      </c>
      <c r="AG29" s="50" t="s">
        <v>88</v>
      </c>
      <c r="AH29" s="50"/>
      <c r="AI29" s="50">
        <f>95+16</f>
        <v>111</v>
      </c>
    </row>
    <row r="30" spans="1:35" ht="118.8" x14ac:dyDescent="0.25">
      <c r="A30" s="44">
        <v>10</v>
      </c>
      <c r="B30" s="45" t="s">
        <v>89</v>
      </c>
      <c r="C30" s="46" t="str">
        <f t="shared" ca="1" si="0"/>
        <v xml:space="preserve">Разборка: кирпичных стен 10,39*1,8=18,702 т
1 м3
11740 руб. НР 84%=110%*(0,85*0,9) от ФОТ (13976 руб.)
6708 руб.СП 48%=70%*(0,8*0,85) от ФОТ (13976 руб.)
</v>
      </c>
      <c r="D30" s="44" t="s">
        <v>90</v>
      </c>
      <c r="E30" s="47" t="s">
        <v>91</v>
      </c>
      <c r="F30" s="47" t="s">
        <v>92</v>
      </c>
      <c r="G30" s="47"/>
      <c r="H30" s="58" t="s">
        <v>93</v>
      </c>
      <c r="I30" s="48">
        <v>17795</v>
      </c>
      <c r="J30" s="47">
        <v>12068</v>
      </c>
      <c r="K30" s="47" t="s">
        <v>94</v>
      </c>
      <c r="L30" s="47" t="str">
        <f>IF(10.39*0=0," ",TEXT(,ROUND((10.39*0*1),2)))</f>
        <v xml:space="preserve"> </v>
      </c>
      <c r="M30" s="47" t="s">
        <v>95</v>
      </c>
      <c r="N30" s="47" t="s">
        <v>96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 t="s">
        <v>31</v>
      </c>
      <c r="AB30" s="50" t="s">
        <v>32</v>
      </c>
      <c r="AC30" s="50">
        <v>11740</v>
      </c>
      <c r="AD30" s="50">
        <v>6708</v>
      </c>
      <c r="AE30" s="50"/>
      <c r="AF30" s="51" t="s">
        <v>97</v>
      </c>
      <c r="AG30" s="50" t="s">
        <v>98</v>
      </c>
      <c r="AH30" s="50"/>
      <c r="AI30" s="50">
        <f>12068+1908</f>
        <v>13976</v>
      </c>
    </row>
    <row r="31" spans="1:35" ht="118.8" x14ac:dyDescent="0.25">
      <c r="A31" s="52">
        <v>11</v>
      </c>
      <c r="B31" s="53" t="s">
        <v>99</v>
      </c>
      <c r="C31" s="54" t="str">
        <f t="shared" ca="1" si="0"/>
        <v xml:space="preserve">Очистка помещений от строительного мусора
100 т мусора
5720 руб. НР 66%=78%*0,85 от ФОТ (8666 руб.)
3466 руб.СП 40%=50%*0,8 от ФОТ (8666 руб.)
</v>
      </c>
      <c r="D31" s="52">
        <v>0.35099999999999998</v>
      </c>
      <c r="E31" s="55" t="s">
        <v>100</v>
      </c>
      <c r="F31" s="55"/>
      <c r="G31" s="55"/>
      <c r="H31" s="56" t="s">
        <v>101</v>
      </c>
      <c r="I31" s="57">
        <v>8666</v>
      </c>
      <c r="J31" s="55">
        <v>8666</v>
      </c>
      <c r="K31" s="55"/>
      <c r="L31" s="55" t="str">
        <f>IF(0.351*0=0," ",TEXT(,ROUND((0.351*0*1),2)))</f>
        <v xml:space="preserve"> </v>
      </c>
      <c r="M31" s="55">
        <v>214.32</v>
      </c>
      <c r="N31" s="55">
        <v>75.23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 t="s">
        <v>102</v>
      </c>
      <c r="AB31" s="50" t="s">
        <v>103</v>
      </c>
      <c r="AC31" s="50">
        <v>5720</v>
      </c>
      <c r="AD31" s="50">
        <v>3466</v>
      </c>
      <c r="AE31" s="50"/>
      <c r="AF31" s="51" t="s">
        <v>104</v>
      </c>
      <c r="AG31" s="50" t="s">
        <v>105</v>
      </c>
      <c r="AH31" s="50"/>
      <c r="AI31" s="50">
        <f>8666+0</f>
        <v>8666</v>
      </c>
    </row>
    <row r="32" spans="1:35" ht="26.4" x14ac:dyDescent="0.25">
      <c r="A32" s="69" t="s">
        <v>106</v>
      </c>
      <c r="B32" s="64"/>
      <c r="C32" s="64"/>
      <c r="D32" s="64"/>
      <c r="E32" s="64"/>
      <c r="F32" s="64"/>
      <c r="G32" s="64"/>
      <c r="H32" s="64"/>
      <c r="I32" s="48">
        <v>5931</v>
      </c>
      <c r="J32" s="47">
        <v>4170</v>
      </c>
      <c r="K32" s="47" t="s">
        <v>107</v>
      </c>
      <c r="L32" s="47"/>
      <c r="M32" s="47"/>
      <c r="N32" s="47" t="s">
        <v>108</v>
      </c>
      <c r="O32" s="17"/>
      <c r="P32" s="18"/>
      <c r="Q32" s="17"/>
      <c r="R32" s="17"/>
      <c r="S32" s="17"/>
      <c r="T32" s="17"/>
      <c r="U32" s="17"/>
      <c r="V32" s="17"/>
      <c r="W32" s="17"/>
      <c r="X32" s="17"/>
      <c r="Y32" s="17"/>
      <c r="Z32" s="17"/>
      <c r="AF32" s="4"/>
    </row>
    <row r="33" spans="1:35" ht="26.4" x14ac:dyDescent="0.25">
      <c r="A33" s="69" t="s">
        <v>109</v>
      </c>
      <c r="B33" s="64"/>
      <c r="C33" s="64"/>
      <c r="D33" s="64"/>
      <c r="E33" s="64"/>
      <c r="F33" s="64"/>
      <c r="G33" s="64"/>
      <c r="H33" s="64"/>
      <c r="I33" s="48">
        <v>78330</v>
      </c>
      <c r="J33" s="47">
        <v>66303</v>
      </c>
      <c r="K33" s="47" t="s">
        <v>110</v>
      </c>
      <c r="L33" s="47"/>
      <c r="M33" s="47"/>
      <c r="N33" s="47" t="s">
        <v>108</v>
      </c>
      <c r="O33" s="17"/>
      <c r="P33" s="18"/>
      <c r="Q33" s="17"/>
      <c r="R33" s="17"/>
      <c r="S33" s="17"/>
      <c r="T33" s="17"/>
      <c r="U33" s="17"/>
      <c r="V33" s="17"/>
      <c r="W33" s="17"/>
      <c r="X33" s="17"/>
      <c r="Y33" s="17"/>
      <c r="Z33" s="17"/>
      <c r="AF33" s="4"/>
    </row>
    <row r="34" spans="1:35" x14ac:dyDescent="0.25">
      <c r="A34" s="69" t="s">
        <v>111</v>
      </c>
      <c r="B34" s="64"/>
      <c r="C34" s="64"/>
      <c r="D34" s="64"/>
      <c r="E34" s="64"/>
      <c r="F34" s="64"/>
      <c r="G34" s="64"/>
      <c r="H34" s="64"/>
      <c r="I34" s="48">
        <v>52078</v>
      </c>
      <c r="J34" s="47"/>
      <c r="K34" s="47"/>
      <c r="L34" s="47"/>
      <c r="M34" s="47"/>
      <c r="N34" s="47"/>
      <c r="O34" s="17"/>
      <c r="P34" s="18"/>
      <c r="Q34" s="17"/>
      <c r="R34" s="17"/>
      <c r="S34" s="17"/>
      <c r="T34" s="39"/>
      <c r="U34" s="39"/>
      <c r="V34" s="39"/>
      <c r="W34" s="39"/>
      <c r="X34" s="39"/>
      <c r="Y34" s="39"/>
      <c r="Z34" s="39"/>
    </row>
    <row r="35" spans="1:35" x14ac:dyDescent="0.25">
      <c r="A35" s="69" t="s">
        <v>112</v>
      </c>
      <c r="B35" s="64"/>
      <c r="C35" s="64"/>
      <c r="D35" s="64"/>
      <c r="E35" s="64"/>
      <c r="F35" s="64"/>
      <c r="G35" s="64"/>
      <c r="H35" s="64"/>
      <c r="I35" s="48">
        <v>34063</v>
      </c>
      <c r="J35" s="47"/>
      <c r="K35" s="47"/>
      <c r="L35" s="47"/>
      <c r="M35" s="47"/>
      <c r="N35" s="47"/>
      <c r="O35" s="17"/>
      <c r="P35" s="18"/>
      <c r="Q35" s="17"/>
      <c r="R35" s="17"/>
      <c r="S35" s="17"/>
    </row>
    <row r="36" spans="1:35" ht="26.4" x14ac:dyDescent="0.25">
      <c r="A36" s="67" t="s">
        <v>113</v>
      </c>
      <c r="B36" s="68"/>
      <c r="C36" s="68"/>
      <c r="D36" s="68"/>
      <c r="E36" s="68"/>
      <c r="F36" s="68"/>
      <c r="G36" s="68"/>
      <c r="H36" s="68"/>
      <c r="I36" s="59">
        <v>164471</v>
      </c>
      <c r="J36" s="60"/>
      <c r="K36" s="60"/>
      <c r="L36" s="60"/>
      <c r="M36" s="60"/>
      <c r="N36" s="60" t="s">
        <v>108</v>
      </c>
      <c r="O36" s="17"/>
      <c r="P36" s="18"/>
      <c r="Q36" s="17"/>
      <c r="R36" s="17"/>
      <c r="S36" s="17"/>
    </row>
    <row r="37" spans="1:35" ht="21" customHeight="1" x14ac:dyDescent="0.25">
      <c r="A37" s="70" t="s">
        <v>114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</row>
    <row r="38" spans="1:35" ht="118.8" x14ac:dyDescent="0.25">
      <c r="A38" s="44">
        <v>12</v>
      </c>
      <c r="B38" s="45" t="s">
        <v>115</v>
      </c>
      <c r="C38" s="46" t="str">
        <f t="shared" ref="C38:C63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кирпичных наружных: простых при высоте этажа до 4 м
1 м3 кладки
7512 руб. НР 93%=122%*(0,85*0,9) от ФОТ (8077 руб.)
4362 руб.СП 54%=80%*(0,8*0,85) от ФОТ (8077 руб.)
</v>
      </c>
      <c r="D38" s="44">
        <v>8.6999999999999993</v>
      </c>
      <c r="E38" s="47" t="s">
        <v>116</v>
      </c>
      <c r="F38" s="47" t="s">
        <v>117</v>
      </c>
      <c r="G38" s="47">
        <v>811.41</v>
      </c>
      <c r="H38" s="58" t="s">
        <v>118</v>
      </c>
      <c r="I38" s="48">
        <v>44698</v>
      </c>
      <c r="J38" s="47">
        <v>7139</v>
      </c>
      <c r="K38" s="47" t="s">
        <v>119</v>
      </c>
      <c r="L38" s="47" t="str">
        <f>IF(8.7*811.41=0," ",TEXT(,ROUND((8.7*811.41*4.68),2)))</f>
        <v>33037,37</v>
      </c>
      <c r="M38" s="47" t="s">
        <v>120</v>
      </c>
      <c r="N38" s="47" t="s">
        <v>121</v>
      </c>
      <c r="O38" s="49"/>
      <c r="P38" s="49"/>
      <c r="Q38" s="49"/>
      <c r="R38" s="49"/>
      <c r="S38" s="49"/>
      <c r="T38" s="50"/>
      <c r="U38" s="50"/>
      <c r="V38" s="50"/>
      <c r="W38" s="50"/>
      <c r="X38" s="50"/>
      <c r="Y38" s="50"/>
      <c r="Z38" s="50"/>
      <c r="AA38" s="50" t="s">
        <v>122</v>
      </c>
      <c r="AB38" s="50" t="s">
        <v>123</v>
      </c>
      <c r="AC38" s="50">
        <v>7512</v>
      </c>
      <c r="AD38" s="50">
        <v>4362</v>
      </c>
      <c r="AE38" s="50"/>
      <c r="AF38" s="50" t="s">
        <v>124</v>
      </c>
      <c r="AG38" s="50" t="s">
        <v>125</v>
      </c>
      <c r="AH38" s="50"/>
      <c r="AI38" s="50">
        <f>7139+938</f>
        <v>8077</v>
      </c>
    </row>
    <row r="39" spans="1:35" ht="118.8" x14ac:dyDescent="0.25">
      <c r="A39" s="44">
        <v>13</v>
      </c>
      <c r="B39" s="45" t="s">
        <v>126</v>
      </c>
      <c r="C39" s="46" t="str">
        <f t="shared" ca="1" si="1"/>
        <v xml:space="preserve">Устройство покрытия из рулонных материалов: насухо без промазки кромок
100 м2 кровли
1874 руб. НР 71%=83%*0,85 от ФОТ (2639 руб.)
1372 руб.СП 52%=65%*0,8 от ФОТ (2639 руб.)
</v>
      </c>
      <c r="D39" s="44">
        <v>4.577</v>
      </c>
      <c r="E39" s="47" t="s">
        <v>127</v>
      </c>
      <c r="F39" s="47">
        <v>5.23</v>
      </c>
      <c r="G39" s="47">
        <v>883.33</v>
      </c>
      <c r="H39" s="58" t="s">
        <v>128</v>
      </c>
      <c r="I39" s="48">
        <v>23981</v>
      </c>
      <c r="J39" s="47">
        <v>2639</v>
      </c>
      <c r="K39" s="47">
        <v>278</v>
      </c>
      <c r="L39" s="47" t="str">
        <f>IF(4.577*883.33=0," ",TEXT(,ROUND((4.577*883.33*5.21),2)))</f>
        <v>21064,04</v>
      </c>
      <c r="M39" s="47">
        <v>4.5199999999999996</v>
      </c>
      <c r="N39" s="47">
        <v>20.69</v>
      </c>
      <c r="O39" s="49"/>
      <c r="P39" s="49"/>
      <c r="Q39" s="49"/>
      <c r="R39" s="49"/>
      <c r="S39" s="49"/>
      <c r="T39" s="50"/>
      <c r="U39" s="50"/>
      <c r="V39" s="50"/>
      <c r="W39" s="50"/>
      <c r="X39" s="50"/>
      <c r="Y39" s="50"/>
      <c r="Z39" s="50"/>
      <c r="AA39" s="50" t="s">
        <v>38</v>
      </c>
      <c r="AB39" s="50" t="s">
        <v>39</v>
      </c>
      <c r="AC39" s="50">
        <v>1874</v>
      </c>
      <c r="AD39" s="50">
        <v>1372</v>
      </c>
      <c r="AE39" s="50"/>
      <c r="AF39" s="50" t="s">
        <v>129</v>
      </c>
      <c r="AG39" s="50" t="s">
        <v>57</v>
      </c>
      <c r="AH39" s="50"/>
      <c r="AI39" s="50">
        <f>2639+0</f>
        <v>2639</v>
      </c>
    </row>
    <row r="40" spans="1:35" ht="66" x14ac:dyDescent="0.25">
      <c r="A40" s="44">
        <v>14</v>
      </c>
      <c r="B40" s="45" t="s">
        <v>130</v>
      </c>
      <c r="C40" s="46" t="str">
        <f t="shared" ca="1" si="1"/>
        <v xml:space="preserve">Рубероид кровельный с крупнозернистой посыпкой марки: РКК-350б
м2
</v>
      </c>
      <c r="D40" s="44">
        <v>-526.4</v>
      </c>
      <c r="E40" s="47">
        <v>7.46</v>
      </c>
      <c r="F40" s="47"/>
      <c r="G40" s="47">
        <v>7.46</v>
      </c>
      <c r="H40" s="58" t="s">
        <v>131</v>
      </c>
      <c r="I40" s="48">
        <v>-20558</v>
      </c>
      <c r="J40" s="47"/>
      <c r="K40" s="47"/>
      <c r="L40" s="47" t="str">
        <f>IF(-526.4*7.46=0," ",TEXT(,ROUND((-526.4*7.46*5.235),2)))</f>
        <v>-20557,55</v>
      </c>
      <c r="M40" s="47"/>
      <c r="N40" s="47"/>
      <c r="O40" s="49"/>
      <c r="P40" s="49"/>
      <c r="Q40" s="49"/>
      <c r="R40" s="49"/>
      <c r="S40" s="49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 t="s">
        <v>132</v>
      </c>
      <c r="AG40" s="50" t="s">
        <v>133</v>
      </c>
      <c r="AH40" s="50"/>
      <c r="AI40" s="50">
        <f>0+0</f>
        <v>0</v>
      </c>
    </row>
    <row r="41" spans="1:35" ht="52.8" x14ac:dyDescent="0.25">
      <c r="A41" s="44">
        <v>15</v>
      </c>
      <c r="B41" s="45" t="s">
        <v>134</v>
      </c>
      <c r="C41" s="46" t="str">
        <f t="shared" ca="1" si="1"/>
        <v xml:space="preserve">ИЗОСПАН: В
10 м2
</v>
      </c>
      <c r="D41" s="44">
        <v>52.64</v>
      </c>
      <c r="E41" s="47">
        <v>27.5</v>
      </c>
      <c r="F41" s="47"/>
      <c r="G41" s="47">
        <v>27.5</v>
      </c>
      <c r="H41" s="58" t="s">
        <v>135</v>
      </c>
      <c r="I41" s="48">
        <v>8455</v>
      </c>
      <c r="J41" s="47"/>
      <c r="K41" s="47"/>
      <c r="L41" s="47" t="str">
        <f>IF(52.64*27.5=0," ",TEXT(,ROUND((52.64*27.5*5.839),2)))</f>
        <v>8452,54</v>
      </c>
      <c r="M41" s="47"/>
      <c r="N41" s="47"/>
      <c r="O41" s="49"/>
      <c r="P41" s="49"/>
      <c r="Q41" s="49"/>
      <c r="R41" s="49"/>
      <c r="S41" s="49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 t="s">
        <v>136</v>
      </c>
      <c r="AG41" s="50" t="s">
        <v>137</v>
      </c>
      <c r="AH41" s="50"/>
      <c r="AI41" s="50">
        <f>0+0</f>
        <v>0</v>
      </c>
    </row>
    <row r="42" spans="1:35" ht="132" x14ac:dyDescent="0.25">
      <c r="A42" s="44">
        <v>16</v>
      </c>
      <c r="B42" s="45" t="s">
        <v>138</v>
      </c>
      <c r="C42" s="46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28934 руб. НР 92%=120%*(0,85*0,9) от ФОТ (31450 руб.)
13838 руб.СП 44%=65%*(0,8*0,85) от ФОТ (31450 руб.)
</v>
      </c>
      <c r="D42" s="44">
        <v>3.9</v>
      </c>
      <c r="E42" s="47" t="s">
        <v>139</v>
      </c>
      <c r="F42" s="47" t="s">
        <v>140</v>
      </c>
      <c r="G42" s="47">
        <v>4146.24</v>
      </c>
      <c r="H42" s="58" t="s">
        <v>141</v>
      </c>
      <c r="I42" s="48">
        <v>150041</v>
      </c>
      <c r="J42" s="47">
        <v>30878</v>
      </c>
      <c r="K42" s="47" t="s">
        <v>142</v>
      </c>
      <c r="L42" s="47" t="str">
        <f>IF(3.9*4146.24=0," ",TEXT(,ROUND((3.9*4146.24*7),2)))</f>
        <v>113192,35</v>
      </c>
      <c r="M42" s="47" t="s">
        <v>143</v>
      </c>
      <c r="N42" s="47" t="s">
        <v>144</v>
      </c>
      <c r="O42" s="49"/>
      <c r="P42" s="49"/>
      <c r="Q42" s="49"/>
      <c r="R42" s="49"/>
      <c r="S42" s="49"/>
      <c r="T42" s="50"/>
      <c r="U42" s="50"/>
      <c r="V42" s="50"/>
      <c r="W42" s="50"/>
      <c r="X42" s="50"/>
      <c r="Y42" s="50"/>
      <c r="Z42" s="50"/>
      <c r="AA42" s="50" t="s">
        <v>145</v>
      </c>
      <c r="AB42" s="50" t="s">
        <v>146</v>
      </c>
      <c r="AC42" s="50">
        <v>28934</v>
      </c>
      <c r="AD42" s="50">
        <v>13838</v>
      </c>
      <c r="AE42" s="50"/>
      <c r="AF42" s="50" t="s">
        <v>147</v>
      </c>
      <c r="AG42" s="50" t="s">
        <v>148</v>
      </c>
      <c r="AH42" s="50"/>
      <c r="AI42" s="50">
        <f>30878+572</f>
        <v>31450</v>
      </c>
    </row>
    <row r="43" spans="1:35" ht="52.8" x14ac:dyDescent="0.25">
      <c r="A43" s="44">
        <v>17</v>
      </c>
      <c r="B43" s="45" t="s">
        <v>149</v>
      </c>
      <c r="C43" s="46" t="str">
        <f t="shared" ca="1" si="1"/>
        <v xml:space="preserve">Котлы битумные передвижные 400 л
маш.-ч
</v>
      </c>
      <c r="D43" s="44">
        <v>-8.9700000000000006</v>
      </c>
      <c r="E43" s="47">
        <v>30</v>
      </c>
      <c r="F43" s="47">
        <v>30</v>
      </c>
      <c r="G43" s="47"/>
      <c r="H43" s="58" t="s">
        <v>150</v>
      </c>
      <c r="I43" s="48">
        <v>-1541</v>
      </c>
      <c r="J43" s="47"/>
      <c r="K43" s="47">
        <v>-1541</v>
      </c>
      <c r="L43" s="47" t="str">
        <f>IF(-8.97*0=0," ",TEXT(,ROUND((-8.97*0*1),2)))</f>
        <v xml:space="preserve"> </v>
      </c>
      <c r="M43" s="47"/>
      <c r="N43" s="47"/>
      <c r="O43" s="49"/>
      <c r="P43" s="49"/>
      <c r="Q43" s="49"/>
      <c r="R43" s="49"/>
      <c r="S43" s="49"/>
      <c r="T43" s="50"/>
      <c r="U43" s="50"/>
      <c r="V43" s="50"/>
      <c r="W43" s="50"/>
      <c r="X43" s="50"/>
      <c r="Y43" s="50"/>
      <c r="Z43" s="50"/>
      <c r="AA43" s="50" t="s">
        <v>151</v>
      </c>
      <c r="AB43" s="50" t="s">
        <v>152</v>
      </c>
      <c r="AC43" s="50"/>
      <c r="AD43" s="50"/>
      <c r="AE43" s="50"/>
      <c r="AF43" s="50" t="s">
        <v>153</v>
      </c>
      <c r="AG43" s="50" t="s">
        <v>154</v>
      </c>
      <c r="AH43" s="50"/>
      <c r="AI43" s="50">
        <f>0+0</f>
        <v>0</v>
      </c>
    </row>
    <row r="44" spans="1:35" ht="79.2" x14ac:dyDescent="0.25">
      <c r="A44" s="44">
        <v>18</v>
      </c>
      <c r="B44" s="45" t="s">
        <v>155</v>
      </c>
      <c r="C44" s="46" t="str">
        <f t="shared" ca="1" si="1"/>
        <v xml:space="preserve">Битумы нефтяные строительные кровельные марки БНК-45/190, БНК-45/180
т
</v>
      </c>
      <c r="D44" s="44">
        <v>-0.97499999999999998</v>
      </c>
      <c r="E44" s="47">
        <v>1530</v>
      </c>
      <c r="F44" s="47"/>
      <c r="G44" s="47">
        <v>1530</v>
      </c>
      <c r="H44" s="58" t="s">
        <v>156</v>
      </c>
      <c r="I44" s="48">
        <v>-19803</v>
      </c>
      <c r="J44" s="47"/>
      <c r="K44" s="47"/>
      <c r="L44" s="47" t="str">
        <f>IF(-0.975*1530=0," ",TEXT(,ROUND((-0.975*1530*13.273),2)))</f>
        <v>-19800</v>
      </c>
      <c r="M44" s="47"/>
      <c r="N44" s="47"/>
      <c r="O44" s="49"/>
      <c r="P44" s="49"/>
      <c r="Q44" s="49"/>
      <c r="R44" s="49"/>
      <c r="S44" s="49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 t="s">
        <v>157</v>
      </c>
      <c r="AG44" s="50" t="s">
        <v>158</v>
      </c>
      <c r="AH44" s="50"/>
      <c r="AI44" s="50">
        <f>0+0</f>
        <v>0</v>
      </c>
    </row>
    <row r="45" spans="1:35" ht="66" x14ac:dyDescent="0.25">
      <c r="A45" s="44">
        <v>19</v>
      </c>
      <c r="B45" s="45" t="s">
        <v>159</v>
      </c>
      <c r="C45" s="46" t="str">
        <f t="shared" ca="1" si="1"/>
        <v xml:space="preserve">Керосин для технических целей марок КТ-1, КТ-2
т
</v>
      </c>
      <c r="D45" s="44">
        <v>-0.22620000000000001</v>
      </c>
      <c r="E45" s="47">
        <v>2606.9</v>
      </c>
      <c r="F45" s="47"/>
      <c r="G45" s="47">
        <v>2606.9</v>
      </c>
      <c r="H45" s="58" t="s">
        <v>160</v>
      </c>
      <c r="I45" s="48">
        <v>-13233</v>
      </c>
      <c r="J45" s="47"/>
      <c r="K45" s="47"/>
      <c r="L45" s="47" t="str">
        <f>IF(-0.2262*2606.9=0," ",TEXT(,ROUND((-0.2262*2606.9*22.429),2)))</f>
        <v>-13225,95</v>
      </c>
      <c r="M45" s="47"/>
      <c r="N45" s="47"/>
      <c r="O45" s="49"/>
      <c r="P45" s="49"/>
      <c r="Q45" s="49"/>
      <c r="R45" s="49"/>
      <c r="S45" s="49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 t="s">
        <v>161</v>
      </c>
      <c r="AG45" s="50" t="s">
        <v>158</v>
      </c>
      <c r="AH45" s="50"/>
      <c r="AI45" s="50">
        <f>0+0</f>
        <v>0</v>
      </c>
    </row>
    <row r="46" spans="1:35" ht="52.8" x14ac:dyDescent="0.25">
      <c r="A46" s="44">
        <v>20</v>
      </c>
      <c r="B46" s="45" t="s">
        <v>162</v>
      </c>
      <c r="C46" s="46" t="str">
        <f t="shared" ca="1" si="1"/>
        <v xml:space="preserve">Мастика битумная кровельная горячая
т
</v>
      </c>
      <c r="D46" s="44">
        <v>-0.78390000000000004</v>
      </c>
      <c r="E46" s="47">
        <v>3390</v>
      </c>
      <c r="F46" s="47"/>
      <c r="G46" s="47">
        <v>3390</v>
      </c>
      <c r="H46" s="58" t="s">
        <v>163</v>
      </c>
      <c r="I46" s="48">
        <v>-27006</v>
      </c>
      <c r="J46" s="47"/>
      <c r="K46" s="47"/>
      <c r="L46" s="47" t="str">
        <f>IF(-0.7839*3390=0," ",TEXT(,ROUND((-0.7839*3390*10.164),2)))</f>
        <v>-27010,03</v>
      </c>
      <c r="M46" s="47"/>
      <c r="N46" s="47"/>
      <c r="O46" s="49"/>
      <c r="P46" s="49"/>
      <c r="Q46" s="49"/>
      <c r="R46" s="49"/>
      <c r="S46" s="49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 t="s">
        <v>164</v>
      </c>
      <c r="AG46" s="50" t="s">
        <v>158</v>
      </c>
      <c r="AH46" s="50"/>
      <c r="AI46" s="50">
        <f>0+0</f>
        <v>0</v>
      </c>
    </row>
    <row r="47" spans="1:35" ht="79.2" x14ac:dyDescent="0.25">
      <c r="A47" s="44">
        <v>21</v>
      </c>
      <c r="B47" s="45" t="s">
        <v>165</v>
      </c>
      <c r="C47" s="46" t="str">
        <f t="shared" ca="1" si="1"/>
        <v xml:space="preserve">Плиты из минеральной ваты на синтетическом связующем М-125 (ГОСТ 9573-96)
м3
</v>
      </c>
      <c r="D47" s="44">
        <v>-24.1</v>
      </c>
      <c r="E47" s="47">
        <v>530</v>
      </c>
      <c r="F47" s="47"/>
      <c r="G47" s="47">
        <v>530</v>
      </c>
      <c r="H47" s="58" t="s">
        <v>166</v>
      </c>
      <c r="I47" s="48">
        <v>-75948</v>
      </c>
      <c r="J47" s="47"/>
      <c r="K47" s="47"/>
      <c r="L47" s="47" t="str">
        <f>IF(-24.1*530=0," ",TEXT(,ROUND((-24.1*530*5.946),2)))</f>
        <v>-75948,26</v>
      </c>
      <c r="M47" s="47"/>
      <c r="N47" s="47"/>
      <c r="O47" s="49"/>
      <c r="P47" s="49"/>
      <c r="Q47" s="49"/>
      <c r="R47" s="49"/>
      <c r="S47" s="49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 t="s">
        <v>167</v>
      </c>
      <c r="AG47" s="50" t="s">
        <v>168</v>
      </c>
      <c r="AH47" s="50"/>
      <c r="AI47" s="50">
        <f>0+0</f>
        <v>0</v>
      </c>
    </row>
    <row r="48" spans="1:35" ht="171.6" x14ac:dyDescent="0.25">
      <c r="A48" s="44">
        <v>22</v>
      </c>
      <c r="B48" s="45" t="s">
        <v>169</v>
      </c>
      <c r="C48" s="46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(Всего толщ. 250 мм ПЗ=4 (ОЗП=4; ЭМ=4 к расх.; ЗПМ=4; МАТ=4 к расх.; ТЗ=4; ТЗМ=4))
90123 руб. НР 92%=120%*(0,85*0,9) от ФОТ (97960 руб.)
43102 руб.СП 44%=65%*(0,8*0,85) от ФОТ (97960 руб.)
</v>
      </c>
      <c r="D48" s="44">
        <v>3.9</v>
      </c>
      <c r="E48" s="47" t="s">
        <v>170</v>
      </c>
      <c r="F48" s="47" t="s">
        <v>171</v>
      </c>
      <c r="G48" s="47">
        <v>15827.16</v>
      </c>
      <c r="H48" s="58" t="s">
        <v>141</v>
      </c>
      <c r="I48" s="48">
        <v>550590</v>
      </c>
      <c r="J48" s="47">
        <v>95654</v>
      </c>
      <c r="K48" s="47" t="s">
        <v>172</v>
      </c>
      <c r="L48" s="47" t="str">
        <f>IF(3.9*15827.16=0," ",TEXT(,ROUND((3.9*15827.16*7),2)))</f>
        <v>432081,47</v>
      </c>
      <c r="M48" s="47" t="s">
        <v>173</v>
      </c>
      <c r="N48" s="47" t="s">
        <v>174</v>
      </c>
      <c r="O48" s="49"/>
      <c r="P48" s="49"/>
      <c r="Q48" s="49"/>
      <c r="R48" s="49"/>
      <c r="S48" s="49"/>
      <c r="T48" s="50"/>
      <c r="U48" s="50"/>
      <c r="V48" s="50"/>
      <c r="W48" s="50"/>
      <c r="X48" s="50"/>
      <c r="Y48" s="50"/>
      <c r="Z48" s="50"/>
      <c r="AA48" s="50" t="s">
        <v>145</v>
      </c>
      <c r="AB48" s="50" t="s">
        <v>146</v>
      </c>
      <c r="AC48" s="50">
        <v>90123</v>
      </c>
      <c r="AD48" s="50">
        <v>43102</v>
      </c>
      <c r="AE48" s="50" t="s">
        <v>175</v>
      </c>
      <c r="AF48" s="50" t="s">
        <v>176</v>
      </c>
      <c r="AG48" s="50" t="s">
        <v>148</v>
      </c>
      <c r="AH48" s="50"/>
      <c r="AI48" s="50">
        <f>95654+2306</f>
        <v>97960</v>
      </c>
    </row>
    <row r="49" spans="1:35" ht="52.8" x14ac:dyDescent="0.25">
      <c r="A49" s="44">
        <v>23</v>
      </c>
      <c r="B49" s="45" t="s">
        <v>149</v>
      </c>
      <c r="C49" s="46" t="str">
        <f t="shared" ca="1" si="1"/>
        <v xml:space="preserve">Котлы битумные передвижные 400 л
маш.-ч
</v>
      </c>
      <c r="D49" s="44">
        <v>-32.174999999999997</v>
      </c>
      <c r="E49" s="47">
        <v>30</v>
      </c>
      <c r="F49" s="47">
        <v>30</v>
      </c>
      <c r="G49" s="47"/>
      <c r="H49" s="58" t="s">
        <v>150</v>
      </c>
      <c r="I49" s="48">
        <v>-5527</v>
      </c>
      <c r="J49" s="47"/>
      <c r="K49" s="47">
        <v>-5527</v>
      </c>
      <c r="L49" s="47" t="str">
        <f>IF(-32.175*0=0," ",TEXT(,ROUND((-32.175*0*1),2)))</f>
        <v xml:space="preserve"> </v>
      </c>
      <c r="M49" s="47"/>
      <c r="N49" s="47"/>
      <c r="O49" s="49"/>
      <c r="P49" s="49"/>
      <c r="Q49" s="49"/>
      <c r="R49" s="49"/>
      <c r="S49" s="49"/>
      <c r="T49" s="50"/>
      <c r="U49" s="50"/>
      <c r="V49" s="50"/>
      <c r="W49" s="50"/>
      <c r="X49" s="50"/>
      <c r="Y49" s="50"/>
      <c r="Z49" s="50"/>
      <c r="AA49" s="50" t="s">
        <v>151</v>
      </c>
      <c r="AB49" s="50" t="s">
        <v>152</v>
      </c>
      <c r="AC49" s="50"/>
      <c r="AD49" s="50"/>
      <c r="AE49" s="50"/>
      <c r="AF49" s="50" t="s">
        <v>153</v>
      </c>
      <c r="AG49" s="50" t="s">
        <v>154</v>
      </c>
      <c r="AH49" s="50"/>
      <c r="AI49" s="50">
        <f>0+0</f>
        <v>0</v>
      </c>
    </row>
    <row r="50" spans="1:35" ht="52.8" x14ac:dyDescent="0.25">
      <c r="A50" s="44">
        <v>24</v>
      </c>
      <c r="B50" s="45" t="s">
        <v>162</v>
      </c>
      <c r="C50" s="46" t="str">
        <f t="shared" ca="1" si="1"/>
        <v xml:space="preserve">Мастика битумная кровельная горячая
т
</v>
      </c>
      <c r="D50" s="44">
        <v>-3.1360000000000001</v>
      </c>
      <c r="E50" s="47">
        <v>3390</v>
      </c>
      <c r="F50" s="47"/>
      <c r="G50" s="47">
        <v>3390</v>
      </c>
      <c r="H50" s="58" t="s">
        <v>163</v>
      </c>
      <c r="I50" s="48">
        <v>-108053</v>
      </c>
      <c r="J50" s="47"/>
      <c r="K50" s="47"/>
      <c r="L50" s="47" t="str">
        <f>IF(-3.136*3390=0," ",TEXT(,ROUND((-3.136*3390*10.164),2)))</f>
        <v>-108053,89</v>
      </c>
      <c r="M50" s="47"/>
      <c r="N50" s="47"/>
      <c r="O50" s="49"/>
      <c r="P50" s="49"/>
      <c r="Q50" s="49"/>
      <c r="R50" s="49"/>
      <c r="S50" s="49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 t="s">
        <v>164</v>
      </c>
      <c r="AG50" s="50" t="s">
        <v>158</v>
      </c>
      <c r="AH50" s="50"/>
      <c r="AI50" s="50">
        <f>0+0</f>
        <v>0</v>
      </c>
    </row>
    <row r="51" spans="1:35" ht="79.2" x14ac:dyDescent="0.25">
      <c r="A51" s="44">
        <v>25</v>
      </c>
      <c r="B51" s="45" t="s">
        <v>165</v>
      </c>
      <c r="C51" s="46" t="str">
        <f t="shared" ca="1" si="1"/>
        <v xml:space="preserve">Плиты из минеральной ваты на синтетическом связующем М-125 (ГОСТ 9573-96)
м3
</v>
      </c>
      <c r="D51" s="44">
        <v>-96.41</v>
      </c>
      <c r="E51" s="47">
        <v>530</v>
      </c>
      <c r="F51" s="47"/>
      <c r="G51" s="47">
        <v>530</v>
      </c>
      <c r="H51" s="58" t="s">
        <v>166</v>
      </c>
      <c r="I51" s="48">
        <v>-303823</v>
      </c>
      <c r="J51" s="47"/>
      <c r="K51" s="47"/>
      <c r="L51" s="47" t="str">
        <f>IF(-96.41*530=0," ",TEXT(,ROUND((-96.41*530*5.946),2)))</f>
        <v>-303824,55</v>
      </c>
      <c r="M51" s="47"/>
      <c r="N51" s="47"/>
      <c r="O51" s="49"/>
      <c r="P51" s="49"/>
      <c r="Q51" s="49"/>
      <c r="R51" s="49"/>
      <c r="S51" s="49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 t="s">
        <v>167</v>
      </c>
      <c r="AG51" s="50" t="s">
        <v>168</v>
      </c>
      <c r="AH51" s="50"/>
      <c r="AI51" s="50">
        <f>0+0</f>
        <v>0</v>
      </c>
    </row>
    <row r="52" spans="1:35" ht="92.4" x14ac:dyDescent="0.25">
      <c r="A52" s="44">
        <v>26</v>
      </c>
      <c r="B52" s="45" t="s">
        <v>177</v>
      </c>
      <c r="C52" s="46" t="str">
        <f t="shared" ca="1" si="1"/>
        <v xml:space="preserve">Плиты теплоизоляционные энергетические гидрофобизированные базальтовые: ПТЭ-125 , размером 2000х1000х50 мм 4145,05/5,63=736,24
м3
</v>
      </c>
      <c r="D52" s="44" t="s">
        <v>178</v>
      </c>
      <c r="E52" s="47">
        <v>736.24</v>
      </c>
      <c r="F52" s="47"/>
      <c r="G52" s="47">
        <v>736.24</v>
      </c>
      <c r="H52" s="58" t="s">
        <v>179</v>
      </c>
      <c r="I52" s="48">
        <v>416265</v>
      </c>
      <c r="J52" s="47"/>
      <c r="K52" s="47"/>
      <c r="L52" s="47" t="str">
        <f>IF(100.425*736.24=0," ",TEXT(,ROUND((100.425*736.24*5.63),2)))</f>
        <v>416264,76</v>
      </c>
      <c r="M52" s="47"/>
      <c r="N52" s="47"/>
      <c r="O52" s="49"/>
      <c r="P52" s="49"/>
      <c r="Q52" s="49"/>
      <c r="R52" s="49"/>
      <c r="S52" s="49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 t="s">
        <v>180</v>
      </c>
      <c r="AG52" s="50" t="s">
        <v>168</v>
      </c>
      <c r="AH52" s="50"/>
      <c r="AI52" s="50">
        <f>0+0</f>
        <v>0</v>
      </c>
    </row>
    <row r="53" spans="1:35" ht="171.6" x14ac:dyDescent="0.25">
      <c r="A53" s="44">
        <v>27</v>
      </c>
      <c r="B53" s="45" t="s">
        <v>181</v>
      </c>
      <c r="C53" s="46" t="str">
        <f t="shared" ca="1" si="1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(В 2 слоя ПЗ=2 (ОЗП=2; ЭМ=2 к расх.; ЗПМ=2; МАТ=2 к расх.; ТЗ=2; ТЗМ=2))
2559 руб. НР 77%=100%*(0,85*0,9) от ФОТ (3323 руб.)
1595 руб.СП 48%=70%*(0,8*0,85) от ФОТ (3323 руб.)
</v>
      </c>
      <c r="D53" s="44">
        <v>0.68300000000000005</v>
      </c>
      <c r="E53" s="47" t="s">
        <v>182</v>
      </c>
      <c r="F53" s="47" t="s">
        <v>183</v>
      </c>
      <c r="G53" s="47">
        <v>210.9</v>
      </c>
      <c r="H53" s="58" t="s">
        <v>184</v>
      </c>
      <c r="I53" s="48">
        <v>3707</v>
      </c>
      <c r="J53" s="47">
        <v>3307</v>
      </c>
      <c r="K53" s="47" t="s">
        <v>185</v>
      </c>
      <c r="L53" s="47" t="str">
        <f>IF(0.683*210.9=0," ",TEXT(,ROUND((0.683*210.9*1.72),2)))</f>
        <v>247,76</v>
      </c>
      <c r="M53" s="47" t="s">
        <v>186</v>
      </c>
      <c r="N53" s="47" t="s">
        <v>187</v>
      </c>
      <c r="O53" s="49"/>
      <c r="P53" s="49"/>
      <c r="Q53" s="49"/>
      <c r="R53" s="49"/>
      <c r="S53" s="49"/>
      <c r="T53" s="50"/>
      <c r="U53" s="50"/>
      <c r="V53" s="50"/>
      <c r="W53" s="50"/>
      <c r="X53" s="50"/>
      <c r="Y53" s="50"/>
      <c r="Z53" s="50"/>
      <c r="AA53" s="50" t="s">
        <v>188</v>
      </c>
      <c r="AB53" s="50" t="s">
        <v>32</v>
      </c>
      <c r="AC53" s="50">
        <v>2559</v>
      </c>
      <c r="AD53" s="50">
        <v>1595</v>
      </c>
      <c r="AE53" s="50" t="s">
        <v>189</v>
      </c>
      <c r="AF53" s="50" t="s">
        <v>190</v>
      </c>
      <c r="AG53" s="50" t="s">
        <v>191</v>
      </c>
      <c r="AH53" s="50"/>
      <c r="AI53" s="50">
        <f>3307+16</f>
        <v>3323</v>
      </c>
    </row>
    <row r="54" spans="1:35" ht="66" x14ac:dyDescent="0.25">
      <c r="A54" s="44">
        <v>28</v>
      </c>
      <c r="B54" s="45" t="s">
        <v>192</v>
      </c>
      <c r="C54" s="46" t="str">
        <f t="shared" ca="1" si="1"/>
        <v xml:space="preserve">Минплита URSA GEO универсальный 40.42/1.18/5.63=6.08
м2
</v>
      </c>
      <c r="D54" s="44" t="s">
        <v>193</v>
      </c>
      <c r="E54" s="47">
        <v>6.08</v>
      </c>
      <c r="F54" s="47"/>
      <c r="G54" s="47">
        <v>6.08</v>
      </c>
      <c r="H54" s="58" t="s">
        <v>179</v>
      </c>
      <c r="I54" s="48">
        <v>4814</v>
      </c>
      <c r="J54" s="47"/>
      <c r="K54" s="47"/>
      <c r="L54" s="47" t="str">
        <f>IF(140.698*6.08=0," ",TEXT(,ROUND((140.698*6.08*5.63),2)))</f>
        <v>4816,15</v>
      </c>
      <c r="M54" s="47"/>
      <c r="N54" s="47"/>
      <c r="O54" s="49"/>
      <c r="P54" s="49"/>
      <c r="Q54" s="49"/>
      <c r="R54" s="49"/>
      <c r="S54" s="49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 t="s">
        <v>194</v>
      </c>
      <c r="AG54" s="50" t="s">
        <v>133</v>
      </c>
      <c r="AH54" s="50"/>
      <c r="AI54" s="50">
        <f>0+0</f>
        <v>0</v>
      </c>
    </row>
    <row r="55" spans="1:35" ht="118.8" x14ac:dyDescent="0.25">
      <c r="A55" s="44">
        <v>29</v>
      </c>
      <c r="B55" s="45" t="s">
        <v>126</v>
      </c>
      <c r="C55" s="46" t="str">
        <f t="shared" ca="1" si="1"/>
        <v xml:space="preserve">Устройство покрытия из рулонных материалов: насухо без промазки кромок
100 м2 кровли
1592 руб. НР 71%=83%*0,85 от ФОТ (2242 руб.)
1166 руб.СП 52%=65%*0,8 от ФОТ (2242 руб.)
</v>
      </c>
      <c r="D55" s="44">
        <v>3.9</v>
      </c>
      <c r="E55" s="47" t="s">
        <v>127</v>
      </c>
      <c r="F55" s="47">
        <v>5.23</v>
      </c>
      <c r="G55" s="47">
        <v>883.33</v>
      </c>
      <c r="H55" s="58" t="s">
        <v>128</v>
      </c>
      <c r="I55" s="48">
        <v>20423</v>
      </c>
      <c r="J55" s="47">
        <v>2242</v>
      </c>
      <c r="K55" s="47">
        <v>232</v>
      </c>
      <c r="L55" s="47" t="str">
        <f>IF(3.9*883.33=0," ",TEXT(,ROUND((3.9*883.33*5.21),2)))</f>
        <v>17948,38</v>
      </c>
      <c r="M55" s="47">
        <v>4.5199999999999996</v>
      </c>
      <c r="N55" s="47">
        <v>17.63</v>
      </c>
      <c r="O55" s="49"/>
      <c r="P55" s="49"/>
      <c r="Q55" s="49"/>
      <c r="R55" s="49"/>
      <c r="S55" s="49"/>
      <c r="T55" s="50"/>
      <c r="U55" s="50"/>
      <c r="V55" s="50"/>
      <c r="W55" s="50"/>
      <c r="X55" s="50"/>
      <c r="Y55" s="50"/>
      <c r="Z55" s="50"/>
      <c r="AA55" s="50" t="s">
        <v>38</v>
      </c>
      <c r="AB55" s="50" t="s">
        <v>39</v>
      </c>
      <c r="AC55" s="50">
        <v>1592</v>
      </c>
      <c r="AD55" s="50">
        <v>1166</v>
      </c>
      <c r="AE55" s="50"/>
      <c r="AF55" s="50" t="s">
        <v>129</v>
      </c>
      <c r="AG55" s="50" t="s">
        <v>57</v>
      </c>
      <c r="AH55" s="50"/>
      <c r="AI55" s="50">
        <f>2242+0</f>
        <v>2242</v>
      </c>
    </row>
    <row r="56" spans="1:35" ht="66" x14ac:dyDescent="0.25">
      <c r="A56" s="44">
        <v>30</v>
      </c>
      <c r="B56" s="45" t="s">
        <v>130</v>
      </c>
      <c r="C56" s="46" t="str">
        <f t="shared" ca="1" si="1"/>
        <v xml:space="preserve">Рубероид кровельный с крупнозернистой посыпкой марки: РКК-350б
м2
</v>
      </c>
      <c r="D56" s="44">
        <v>-448.5</v>
      </c>
      <c r="E56" s="47">
        <v>7.46</v>
      </c>
      <c r="F56" s="47"/>
      <c r="G56" s="47">
        <v>7.46</v>
      </c>
      <c r="H56" s="58" t="s">
        <v>131</v>
      </c>
      <c r="I56" s="48">
        <v>-17516</v>
      </c>
      <c r="J56" s="47"/>
      <c r="K56" s="47"/>
      <c r="L56" s="47" t="str">
        <f>IF(-448.5*7.46=0," ",TEXT(,ROUND((-448.5*7.46*5.235),2)))</f>
        <v>-17515,32</v>
      </c>
      <c r="M56" s="47"/>
      <c r="N56" s="47"/>
      <c r="O56" s="49"/>
      <c r="P56" s="49"/>
      <c r="Q56" s="49"/>
      <c r="R56" s="49"/>
      <c r="S56" s="49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 t="s">
        <v>132</v>
      </c>
      <c r="AG56" s="50" t="s">
        <v>133</v>
      </c>
      <c r="AH56" s="50"/>
      <c r="AI56" s="50">
        <f>0+0</f>
        <v>0</v>
      </c>
    </row>
    <row r="57" spans="1:35" ht="52.8" x14ac:dyDescent="0.25">
      <c r="A57" s="44">
        <v>31</v>
      </c>
      <c r="B57" s="45" t="s">
        <v>195</v>
      </c>
      <c r="C57" s="46" t="str">
        <f t="shared" ca="1" si="1"/>
        <v xml:space="preserve">ИЗОСПАН: А
10 м2
</v>
      </c>
      <c r="D57" s="44">
        <v>44.85</v>
      </c>
      <c r="E57" s="47">
        <v>39.200000000000003</v>
      </c>
      <c r="F57" s="47"/>
      <c r="G57" s="47">
        <v>39.200000000000003</v>
      </c>
      <c r="H57" s="58" t="s">
        <v>196</v>
      </c>
      <c r="I57" s="48">
        <v>9140</v>
      </c>
      <c r="J57" s="47"/>
      <c r="K57" s="47"/>
      <c r="L57" s="47" t="str">
        <f>IF(44.85*39.2=0," ",TEXT(,ROUND((44.85*39.2*5.199),2)))</f>
        <v>9140,47</v>
      </c>
      <c r="M57" s="47"/>
      <c r="N57" s="47"/>
      <c r="O57" s="49"/>
      <c r="P57" s="49"/>
      <c r="Q57" s="49"/>
      <c r="R57" s="49"/>
      <c r="S57" s="49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 t="s">
        <v>197</v>
      </c>
      <c r="AG57" s="50" t="s">
        <v>137</v>
      </c>
      <c r="AH57" s="50"/>
      <c r="AI57" s="50">
        <f>0+0</f>
        <v>0</v>
      </c>
    </row>
    <row r="58" spans="1:35" ht="105.6" x14ac:dyDescent="0.25">
      <c r="A58" s="44">
        <v>32</v>
      </c>
      <c r="B58" s="45" t="s">
        <v>198</v>
      </c>
      <c r="C58" s="46" t="str">
        <f t="shared" ca="1" si="1"/>
        <v xml:space="preserve">Укладка ходовых досок
100 м ходов
315 руб. НР 90%=118%*(0,85*0,9) от ФОТ (350 руб.)
151 руб.СП 43%=63%*(0,8*0,85) от ФОТ (350 руб.)
</v>
      </c>
      <c r="D58" s="44">
        <v>0.56999999999999995</v>
      </c>
      <c r="E58" s="47" t="s">
        <v>199</v>
      </c>
      <c r="F58" s="47" t="s">
        <v>200</v>
      </c>
      <c r="G58" s="47">
        <v>1007.15</v>
      </c>
      <c r="H58" s="58" t="s">
        <v>201</v>
      </c>
      <c r="I58" s="48">
        <v>3622</v>
      </c>
      <c r="J58" s="47">
        <v>334</v>
      </c>
      <c r="K58" s="47" t="s">
        <v>202</v>
      </c>
      <c r="L58" s="47" t="str">
        <f>IF(0.57*1007.15=0," ",TEXT(,ROUND((0.57*1007.15*5.55),2)))</f>
        <v>3186,12</v>
      </c>
      <c r="M58" s="47" t="s">
        <v>203</v>
      </c>
      <c r="N58" s="47" t="s">
        <v>204</v>
      </c>
      <c r="O58" s="49"/>
      <c r="P58" s="49"/>
      <c r="Q58" s="49"/>
      <c r="R58" s="49"/>
      <c r="S58" s="49"/>
      <c r="T58" s="50"/>
      <c r="U58" s="50"/>
      <c r="V58" s="50"/>
      <c r="W58" s="50"/>
      <c r="X58" s="50"/>
      <c r="Y58" s="50"/>
      <c r="Z58" s="50"/>
      <c r="AA58" s="50" t="s">
        <v>84</v>
      </c>
      <c r="AB58" s="50" t="s">
        <v>85</v>
      </c>
      <c r="AC58" s="50">
        <v>315</v>
      </c>
      <c r="AD58" s="50">
        <v>151</v>
      </c>
      <c r="AE58" s="50"/>
      <c r="AF58" s="50" t="s">
        <v>205</v>
      </c>
      <c r="AG58" s="50" t="s">
        <v>206</v>
      </c>
      <c r="AH58" s="50"/>
      <c r="AI58" s="50">
        <f>334+16</f>
        <v>350</v>
      </c>
    </row>
    <row r="59" spans="1:35" ht="79.2" x14ac:dyDescent="0.25">
      <c r="A59" s="44">
        <v>33</v>
      </c>
      <c r="B59" s="45" t="s">
        <v>207</v>
      </c>
      <c r="C59" s="46" t="str">
        <f t="shared" ca="1" si="1"/>
        <v xml:space="preserve">Доски необрезные хвойных пород длиной: 4-6,5 м, все ширины, толщиной 32-40 мм, III сорта
м3
</v>
      </c>
      <c r="D59" s="44">
        <v>-0.68400000000000005</v>
      </c>
      <c r="E59" s="47">
        <v>832.7</v>
      </c>
      <c r="F59" s="47"/>
      <c r="G59" s="47">
        <v>832.7</v>
      </c>
      <c r="H59" s="58" t="s">
        <v>208</v>
      </c>
      <c r="I59" s="48">
        <v>-3175</v>
      </c>
      <c r="J59" s="47"/>
      <c r="K59" s="47"/>
      <c r="L59" s="47" t="str">
        <f>IF(-0.684*832.7=0," ",TEXT(,ROUND((-0.684*832.7*5.57),2)))</f>
        <v>-3172,49</v>
      </c>
      <c r="M59" s="47"/>
      <c r="N59" s="47"/>
      <c r="O59" s="49"/>
      <c r="P59" s="49"/>
      <c r="Q59" s="49"/>
      <c r="R59" s="49"/>
      <c r="S59" s="49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 t="s">
        <v>209</v>
      </c>
      <c r="AG59" s="50" t="s">
        <v>168</v>
      </c>
      <c r="AH59" s="50"/>
      <c r="AI59" s="50">
        <f>0+0</f>
        <v>0</v>
      </c>
    </row>
    <row r="60" spans="1:35" ht="79.2" x14ac:dyDescent="0.25">
      <c r="A60" s="44">
        <v>34</v>
      </c>
      <c r="B60" s="45" t="s">
        <v>210</v>
      </c>
      <c r="C60" s="46" t="str">
        <f t="shared" ca="1" si="1"/>
        <v xml:space="preserve">Доски обрезные хвойных пород длиной: 4-6,5 м, шириной 75-150 мм, толщиной 44 мм и более, II сорта
м3
</v>
      </c>
      <c r="D60" s="44">
        <v>1.1399999999999999</v>
      </c>
      <c r="E60" s="47">
        <v>1320</v>
      </c>
      <c r="F60" s="47"/>
      <c r="G60" s="47">
        <v>1320</v>
      </c>
      <c r="H60" s="58" t="s">
        <v>211</v>
      </c>
      <c r="I60" s="48">
        <v>6306</v>
      </c>
      <c r="J60" s="47"/>
      <c r="K60" s="47"/>
      <c r="L60" s="47" t="str">
        <f>IF(1.14*1320=0," ",TEXT(,ROUND((1.14*1320*4.19),2)))</f>
        <v>6305,11</v>
      </c>
      <c r="M60" s="47"/>
      <c r="N60" s="47"/>
      <c r="O60" s="49"/>
      <c r="P60" s="49"/>
      <c r="Q60" s="49"/>
      <c r="R60" s="49"/>
      <c r="S60" s="49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 t="s">
        <v>212</v>
      </c>
      <c r="AG60" s="50" t="s">
        <v>168</v>
      </c>
      <c r="AH60" s="50"/>
      <c r="AI60" s="50">
        <f>0+0</f>
        <v>0</v>
      </c>
    </row>
    <row r="61" spans="1:35" ht="105.6" x14ac:dyDescent="0.25">
      <c r="A61" s="44">
        <v>35</v>
      </c>
      <c r="B61" s="45" t="s">
        <v>213</v>
      </c>
      <c r="C61" s="46" t="str">
        <f t="shared" ca="1" si="1"/>
        <v xml:space="preserve">Установка элементов каркаса: из брусьев
1 м3 древесины в конструкции
315 руб. НР 90%=118%*(0,85*0,9) от ФОТ (350 руб.)
151 руб.СП 43%=63%*(0,8*0,85) от ФОТ (350 руб.)
</v>
      </c>
      <c r="D61" s="44">
        <v>0.1</v>
      </c>
      <c r="E61" s="47" t="s">
        <v>214</v>
      </c>
      <c r="F61" s="47">
        <v>33.51</v>
      </c>
      <c r="G61" s="47">
        <v>2189</v>
      </c>
      <c r="H61" s="58" t="s">
        <v>215</v>
      </c>
      <c r="I61" s="48">
        <v>1315</v>
      </c>
      <c r="J61" s="47">
        <v>350</v>
      </c>
      <c r="K61" s="47">
        <v>45</v>
      </c>
      <c r="L61" s="47" t="str">
        <f>IF(0.1*2189=0," ",TEXT(,ROUND((0.1*2189*4.2),2)))</f>
        <v>919,38</v>
      </c>
      <c r="M61" s="47">
        <v>22.5</v>
      </c>
      <c r="N61" s="47">
        <v>2.25</v>
      </c>
      <c r="O61" s="49"/>
      <c r="P61" s="49"/>
      <c r="Q61" s="49"/>
      <c r="R61" s="49"/>
      <c r="S61" s="49"/>
      <c r="T61" s="50"/>
      <c r="U61" s="50"/>
      <c r="V61" s="50"/>
      <c r="W61" s="50"/>
      <c r="X61" s="50"/>
      <c r="Y61" s="50"/>
      <c r="Z61" s="50"/>
      <c r="AA61" s="50" t="s">
        <v>84</v>
      </c>
      <c r="AB61" s="50" t="s">
        <v>85</v>
      </c>
      <c r="AC61" s="50">
        <v>315</v>
      </c>
      <c r="AD61" s="50">
        <v>151</v>
      </c>
      <c r="AE61" s="50"/>
      <c r="AF61" s="50" t="s">
        <v>216</v>
      </c>
      <c r="AG61" s="50" t="s">
        <v>217</v>
      </c>
      <c r="AH61" s="50"/>
      <c r="AI61" s="50">
        <f>350+0</f>
        <v>350</v>
      </c>
    </row>
    <row r="62" spans="1:35" ht="118.8" x14ac:dyDescent="0.25">
      <c r="A62" s="44">
        <v>36</v>
      </c>
      <c r="B62" s="45" t="s">
        <v>218</v>
      </c>
      <c r="C62" s="46" t="str">
        <f t="shared" ca="1" si="1"/>
        <v xml:space="preserve">Установка противопожарных дверей: однопольных глухих
1 м2 проема
384 руб. НР 69%=90%*(0,85*0,9) от ФОТ (557 руб.)
323 руб.СП 58%=85%*(0,8*0,85) от ФОТ (557 руб.)
</v>
      </c>
      <c r="D62" s="44">
        <v>1.44</v>
      </c>
      <c r="E62" s="47" t="s">
        <v>219</v>
      </c>
      <c r="F62" s="47">
        <v>10.199999999999999</v>
      </c>
      <c r="G62" s="47">
        <v>60.66</v>
      </c>
      <c r="H62" s="58" t="s">
        <v>220</v>
      </c>
      <c r="I62" s="48">
        <v>1171</v>
      </c>
      <c r="J62" s="47">
        <v>557</v>
      </c>
      <c r="K62" s="47">
        <v>125</v>
      </c>
      <c r="L62" s="47" t="str">
        <f>IF(1.44*60.66=0," ",TEXT(,ROUND((1.44*60.66*5.62),2)))</f>
        <v>490,91</v>
      </c>
      <c r="M62" s="47">
        <v>2.0699999999999998</v>
      </c>
      <c r="N62" s="47">
        <v>2.98</v>
      </c>
      <c r="O62" s="49"/>
      <c r="P62" s="49"/>
      <c r="Q62" s="49"/>
      <c r="R62" s="49"/>
      <c r="S62" s="49"/>
      <c r="T62" s="50"/>
      <c r="U62" s="50"/>
      <c r="V62" s="50"/>
      <c r="W62" s="50"/>
      <c r="X62" s="50"/>
      <c r="Y62" s="50"/>
      <c r="Z62" s="50"/>
      <c r="AA62" s="50" t="s">
        <v>221</v>
      </c>
      <c r="AB62" s="50" t="s">
        <v>222</v>
      </c>
      <c r="AC62" s="50">
        <v>384</v>
      </c>
      <c r="AD62" s="50">
        <v>323</v>
      </c>
      <c r="AE62" s="50"/>
      <c r="AF62" s="50" t="s">
        <v>223</v>
      </c>
      <c r="AG62" s="50" t="s">
        <v>224</v>
      </c>
      <c r="AH62" s="50"/>
      <c r="AI62" s="50">
        <f>557+0</f>
        <v>557</v>
      </c>
    </row>
    <row r="63" spans="1:35" ht="66" x14ac:dyDescent="0.25">
      <c r="A63" s="52">
        <v>37</v>
      </c>
      <c r="B63" s="53" t="s">
        <v>225</v>
      </c>
      <c r="C63" s="54" t="str">
        <f t="shared" ca="1" si="1"/>
        <v xml:space="preserve">Люки противопожарные: ЛПМ 01/60, 800х900 мм 8653,97/5,63=1537,12
шт.
</v>
      </c>
      <c r="D63" s="52">
        <v>2</v>
      </c>
      <c r="E63" s="55">
        <v>1537.12</v>
      </c>
      <c r="F63" s="55"/>
      <c r="G63" s="55">
        <v>1537.12</v>
      </c>
      <c r="H63" s="56" t="s">
        <v>179</v>
      </c>
      <c r="I63" s="57">
        <v>17307</v>
      </c>
      <c r="J63" s="55"/>
      <c r="K63" s="55"/>
      <c r="L63" s="55" t="str">
        <f>IF(2*1537.12=0," ",TEXT(,ROUND((2*1537.12*5.63),2)))</f>
        <v>17307,97</v>
      </c>
      <c r="M63" s="55"/>
      <c r="N63" s="55"/>
      <c r="O63" s="49"/>
      <c r="P63" s="49"/>
      <c r="Q63" s="49"/>
      <c r="R63" s="49"/>
      <c r="S63" s="49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 t="s">
        <v>226</v>
      </c>
      <c r="AG63" s="50" t="s">
        <v>227</v>
      </c>
      <c r="AH63" s="50"/>
      <c r="AI63" s="50">
        <f>0+0</f>
        <v>0</v>
      </c>
    </row>
    <row r="64" spans="1:35" ht="26.4" x14ac:dyDescent="0.25">
      <c r="A64" s="69" t="s">
        <v>106</v>
      </c>
      <c r="B64" s="64"/>
      <c r="C64" s="64"/>
      <c r="D64" s="64"/>
      <c r="E64" s="64"/>
      <c r="F64" s="64"/>
      <c r="G64" s="64"/>
      <c r="H64" s="64"/>
      <c r="I64" s="48">
        <v>98466</v>
      </c>
      <c r="J64" s="47">
        <v>7865</v>
      </c>
      <c r="K64" s="47" t="s">
        <v>228</v>
      </c>
      <c r="L64" s="47">
        <v>88961</v>
      </c>
      <c r="M64" s="47"/>
      <c r="N64" s="47" t="s">
        <v>229</v>
      </c>
      <c r="O64" s="17"/>
      <c r="P64" s="18"/>
      <c r="Q64" s="17"/>
      <c r="R64" s="17"/>
      <c r="S64" s="17"/>
    </row>
    <row r="65" spans="1:35" ht="26.4" x14ac:dyDescent="0.25">
      <c r="A65" s="69" t="s">
        <v>230</v>
      </c>
      <c r="B65" s="64"/>
      <c r="C65" s="64"/>
      <c r="D65" s="64"/>
      <c r="E65" s="64"/>
      <c r="F65" s="64"/>
      <c r="G65" s="64"/>
      <c r="H65" s="64"/>
      <c r="I65" s="48">
        <v>100309</v>
      </c>
      <c r="J65" s="47">
        <v>9000</v>
      </c>
      <c r="K65" s="47" t="s">
        <v>231</v>
      </c>
      <c r="L65" s="47">
        <v>88961</v>
      </c>
      <c r="M65" s="47"/>
      <c r="N65" s="47" t="s">
        <v>232</v>
      </c>
      <c r="O65" s="17"/>
      <c r="P65" s="18"/>
      <c r="Q65" s="17"/>
      <c r="R65" s="17"/>
      <c r="S65" s="17"/>
    </row>
    <row r="66" spans="1:35" x14ac:dyDescent="0.25">
      <c r="A66" s="69" t="s">
        <v>233</v>
      </c>
      <c r="B66" s="64"/>
      <c r="C66" s="64"/>
      <c r="D66" s="64"/>
      <c r="E66" s="64"/>
      <c r="F66" s="64"/>
      <c r="G66" s="64"/>
      <c r="H66" s="64"/>
      <c r="I66" s="48"/>
      <c r="J66" s="47"/>
      <c r="K66" s="47"/>
      <c r="L66" s="47"/>
      <c r="M66" s="47"/>
      <c r="N66" s="47"/>
      <c r="O66" s="17"/>
      <c r="P66" s="18"/>
      <c r="Q66" s="17"/>
      <c r="R66" s="17"/>
      <c r="S66" s="17"/>
    </row>
    <row r="67" spans="1:35" ht="27.9" customHeight="1" x14ac:dyDescent="0.25">
      <c r="A67" s="69" t="s">
        <v>234</v>
      </c>
      <c r="B67" s="64"/>
      <c r="C67" s="64"/>
      <c r="D67" s="64"/>
      <c r="E67" s="64"/>
      <c r="F67" s="64"/>
      <c r="G67" s="64"/>
      <c r="H67" s="64"/>
      <c r="I67" s="48">
        <v>1843</v>
      </c>
      <c r="J67" s="47">
        <v>1134</v>
      </c>
      <c r="K67" s="47" t="s">
        <v>235</v>
      </c>
      <c r="L67" s="47"/>
      <c r="M67" s="47"/>
      <c r="N67" s="47" t="s">
        <v>236</v>
      </c>
      <c r="O67" s="17"/>
      <c r="P67" s="18"/>
      <c r="Q67" s="17"/>
      <c r="R67" s="17"/>
      <c r="S67" s="17"/>
    </row>
    <row r="68" spans="1:35" ht="26.4" x14ac:dyDescent="0.25">
      <c r="A68" s="69" t="s">
        <v>109</v>
      </c>
      <c r="B68" s="64"/>
      <c r="C68" s="64"/>
      <c r="D68" s="64"/>
      <c r="E68" s="64"/>
      <c r="F68" s="64"/>
      <c r="G68" s="64"/>
      <c r="H68" s="64"/>
      <c r="I68" s="48">
        <v>665653</v>
      </c>
      <c r="J68" s="47">
        <v>143100</v>
      </c>
      <c r="K68" s="47" t="s">
        <v>237</v>
      </c>
      <c r="L68" s="47">
        <v>495335</v>
      </c>
      <c r="M68" s="47"/>
      <c r="N68" s="47" t="s">
        <v>232</v>
      </c>
      <c r="O68" s="17"/>
      <c r="P68" s="18"/>
      <c r="Q68" s="17"/>
      <c r="R68" s="17"/>
      <c r="S68" s="17"/>
    </row>
    <row r="69" spans="1:35" x14ac:dyDescent="0.25">
      <c r="A69" s="69" t="s">
        <v>111</v>
      </c>
      <c r="B69" s="64"/>
      <c r="C69" s="64"/>
      <c r="D69" s="64"/>
      <c r="E69" s="64"/>
      <c r="F69" s="64"/>
      <c r="G69" s="64"/>
      <c r="H69" s="64"/>
      <c r="I69" s="48">
        <v>133608</v>
      </c>
      <c r="J69" s="47"/>
      <c r="K69" s="47"/>
      <c r="L69" s="47"/>
      <c r="M69" s="47"/>
      <c r="N69" s="47"/>
      <c r="O69" s="17"/>
      <c r="P69" s="18"/>
      <c r="Q69" s="17"/>
      <c r="R69" s="17"/>
      <c r="S69" s="17"/>
    </row>
    <row r="70" spans="1:35" x14ac:dyDescent="0.25">
      <c r="A70" s="69" t="s">
        <v>112</v>
      </c>
      <c r="B70" s="64"/>
      <c r="C70" s="64"/>
      <c r="D70" s="64"/>
      <c r="E70" s="64"/>
      <c r="F70" s="64"/>
      <c r="G70" s="64"/>
      <c r="H70" s="64"/>
      <c r="I70" s="48">
        <v>66059</v>
      </c>
      <c r="J70" s="47"/>
      <c r="K70" s="47"/>
      <c r="L70" s="47"/>
      <c r="M70" s="47"/>
      <c r="N70" s="47"/>
      <c r="O70" s="17"/>
      <c r="P70" s="18"/>
      <c r="Q70" s="17"/>
      <c r="R70" s="17"/>
      <c r="S70" s="17"/>
    </row>
    <row r="71" spans="1:35" ht="26.4" x14ac:dyDescent="0.25">
      <c r="A71" s="67" t="s">
        <v>238</v>
      </c>
      <c r="B71" s="68"/>
      <c r="C71" s="68"/>
      <c r="D71" s="68"/>
      <c r="E71" s="68"/>
      <c r="F71" s="68"/>
      <c r="G71" s="68"/>
      <c r="H71" s="68"/>
      <c r="I71" s="59">
        <v>865320</v>
      </c>
      <c r="J71" s="60"/>
      <c r="K71" s="60"/>
      <c r="L71" s="60"/>
      <c r="M71" s="60"/>
      <c r="N71" s="60" t="s">
        <v>232</v>
      </c>
      <c r="O71" s="17"/>
      <c r="P71" s="18"/>
      <c r="Q71" s="17"/>
      <c r="R71" s="17"/>
      <c r="S71" s="17"/>
    </row>
    <row r="72" spans="1:35" ht="21" customHeight="1" x14ac:dyDescent="0.25">
      <c r="A72" s="70" t="s">
        <v>239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</row>
    <row r="73" spans="1:35" ht="105.6" x14ac:dyDescent="0.25">
      <c r="A73" s="44">
        <v>38</v>
      </c>
      <c r="B73" s="45" t="s">
        <v>240</v>
      </c>
      <c r="C73" s="46" t="str">
        <f t="shared" ref="C73:C104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Установка стропил
1 м3 древесины в конструкции
78390 руб. НР 90%=118%*(0,85*0,9) от ФОТ (87100 руб.)
37453 руб.СП 43%=63%*(0,8*0,85) от ФОТ (87100 руб.)
</v>
      </c>
      <c r="D73" s="44">
        <v>23.530999999999999</v>
      </c>
      <c r="E73" s="47" t="s">
        <v>241</v>
      </c>
      <c r="F73" s="47" t="s">
        <v>242</v>
      </c>
      <c r="G73" s="47">
        <v>2062.2600000000002</v>
      </c>
      <c r="H73" s="58" t="s">
        <v>243</v>
      </c>
      <c r="I73" s="48">
        <v>298113</v>
      </c>
      <c r="J73" s="47">
        <v>86146</v>
      </c>
      <c r="K73" s="47" t="s">
        <v>244</v>
      </c>
      <c r="L73" s="47" t="str">
        <f>IF(23.531*2062.26=0," ",TEXT(,ROUND((23.531*2062.26*4.11),2)))</f>
        <v>199446,13</v>
      </c>
      <c r="M73" s="47" t="s">
        <v>245</v>
      </c>
      <c r="N73" s="47" t="s">
        <v>246</v>
      </c>
      <c r="O73" s="49"/>
      <c r="P73" s="49"/>
      <c r="Q73" s="49"/>
      <c r="R73" s="49"/>
      <c r="S73" s="49"/>
      <c r="T73" s="50"/>
      <c r="U73" s="50"/>
      <c r="V73" s="50"/>
      <c r="W73" s="50"/>
      <c r="X73" s="50"/>
      <c r="Y73" s="50"/>
      <c r="Z73" s="50"/>
      <c r="AA73" s="50" t="s">
        <v>84</v>
      </c>
      <c r="AB73" s="50" t="s">
        <v>85</v>
      </c>
      <c r="AC73" s="50">
        <v>78390</v>
      </c>
      <c r="AD73" s="50">
        <v>37453</v>
      </c>
      <c r="AE73" s="50"/>
      <c r="AF73" s="50" t="s">
        <v>247</v>
      </c>
      <c r="AG73" s="50" t="s">
        <v>217</v>
      </c>
      <c r="AH73" s="50"/>
      <c r="AI73" s="50">
        <f>86146+954</f>
        <v>87100</v>
      </c>
    </row>
    <row r="74" spans="1:35" ht="118.8" x14ac:dyDescent="0.25">
      <c r="A74" s="44">
        <v>39</v>
      </c>
      <c r="B74" s="45" t="s">
        <v>248</v>
      </c>
      <c r="C74" s="46" t="str">
        <f t="shared" ca="1" si="2"/>
        <v xml:space="preserve">Устройство обрешетки сплошной из досок 99,2 м2 учтено в поз.64
100 м2
7462 руб. НР 71%=83%*0,85 от ФОТ (10510 руб.)
5465 руб.СП 52%=65%*0,8 от ФОТ (10510 руб.)
</v>
      </c>
      <c r="D74" s="44" t="s">
        <v>249</v>
      </c>
      <c r="E74" s="47" t="s">
        <v>250</v>
      </c>
      <c r="F74" s="47" t="s">
        <v>251</v>
      </c>
      <c r="G74" s="47">
        <v>2198.6799999999998</v>
      </c>
      <c r="H74" s="58" t="s">
        <v>252</v>
      </c>
      <c r="I74" s="48">
        <v>43487</v>
      </c>
      <c r="J74" s="47">
        <v>10271</v>
      </c>
      <c r="K74" s="47" t="s">
        <v>253</v>
      </c>
      <c r="L74" s="47" t="str">
        <f>IF(2.558*2198.68=0," ",TEXT(,ROUND((2.558*2198.68*5.72),2)))</f>
        <v>32170,56</v>
      </c>
      <c r="M74" s="47" t="s">
        <v>254</v>
      </c>
      <c r="N74" s="47" t="s">
        <v>255</v>
      </c>
      <c r="O74" s="49"/>
      <c r="P74" s="49"/>
      <c r="Q74" s="49"/>
      <c r="R74" s="49"/>
      <c r="S74" s="49"/>
      <c r="T74" s="50"/>
      <c r="U74" s="50"/>
      <c r="V74" s="50"/>
      <c r="W74" s="50"/>
      <c r="X74" s="50"/>
      <c r="Y74" s="50"/>
      <c r="Z74" s="50"/>
      <c r="AA74" s="50" t="s">
        <v>38</v>
      </c>
      <c r="AB74" s="50" t="s">
        <v>39</v>
      </c>
      <c r="AC74" s="50">
        <v>7462</v>
      </c>
      <c r="AD74" s="50">
        <v>5465</v>
      </c>
      <c r="AE74" s="50"/>
      <c r="AF74" s="50" t="s">
        <v>256</v>
      </c>
      <c r="AG74" s="50" t="s">
        <v>257</v>
      </c>
      <c r="AH74" s="50"/>
      <c r="AI74" s="50">
        <f>10271+239</f>
        <v>10510</v>
      </c>
    </row>
    <row r="75" spans="1:35" ht="79.2" x14ac:dyDescent="0.25">
      <c r="A75" s="44">
        <v>40</v>
      </c>
      <c r="B75" s="45" t="s">
        <v>258</v>
      </c>
      <c r="C75" s="46" t="str">
        <f t="shared" ca="1" si="2"/>
        <v xml:space="preserve">Доски необрезные хвойных пород длиной: 4-6,5 м, все ширины, толщиной 25 мм, III сорта
м3
</v>
      </c>
      <c r="D75" s="44">
        <v>-6.7530000000000001</v>
      </c>
      <c r="E75" s="47">
        <v>792</v>
      </c>
      <c r="F75" s="47"/>
      <c r="G75" s="47">
        <v>792</v>
      </c>
      <c r="H75" s="58" t="s">
        <v>259</v>
      </c>
      <c r="I75" s="48">
        <v>-31318</v>
      </c>
      <c r="J75" s="47"/>
      <c r="K75" s="47"/>
      <c r="L75" s="47" t="str">
        <f>IF(-6.753*792=0," ",TEXT(,ROUND((-6.753*792*5.856),2)))</f>
        <v>-31320,09</v>
      </c>
      <c r="M75" s="47"/>
      <c r="N75" s="47"/>
      <c r="O75" s="49"/>
      <c r="P75" s="49"/>
      <c r="Q75" s="49"/>
      <c r="R75" s="49"/>
      <c r="S75" s="49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 t="s">
        <v>260</v>
      </c>
      <c r="AG75" s="50" t="s">
        <v>168</v>
      </c>
      <c r="AH75" s="50"/>
      <c r="AI75" s="50">
        <f>0+0</f>
        <v>0</v>
      </c>
    </row>
    <row r="76" spans="1:35" ht="79.2" x14ac:dyDescent="0.25">
      <c r="A76" s="44">
        <v>41</v>
      </c>
      <c r="B76" s="45" t="s">
        <v>210</v>
      </c>
      <c r="C76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76" s="44">
        <v>13.506</v>
      </c>
      <c r="E76" s="47">
        <v>1320</v>
      </c>
      <c r="F76" s="47"/>
      <c r="G76" s="47">
        <v>1320</v>
      </c>
      <c r="H76" s="58" t="s">
        <v>211</v>
      </c>
      <c r="I76" s="48">
        <v>74699</v>
      </c>
      <c r="J76" s="47"/>
      <c r="K76" s="47"/>
      <c r="L76" s="47" t="str">
        <f>IF(13.506*1320=0," ",TEXT(,ROUND((13.506*1320*4.19),2)))</f>
        <v>74698,98</v>
      </c>
      <c r="M76" s="47"/>
      <c r="N76" s="47"/>
      <c r="O76" s="49"/>
      <c r="P76" s="49"/>
      <c r="Q76" s="49"/>
      <c r="R76" s="49"/>
      <c r="S76" s="49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 t="s">
        <v>212</v>
      </c>
      <c r="AG76" s="50" t="s">
        <v>168</v>
      </c>
      <c r="AH76" s="50"/>
      <c r="AI76" s="50">
        <f>0+0</f>
        <v>0</v>
      </c>
    </row>
    <row r="77" spans="1:35" ht="132" x14ac:dyDescent="0.25">
      <c r="A77" s="44">
        <v>42</v>
      </c>
      <c r="B77" s="45" t="s">
        <v>261</v>
      </c>
      <c r="C77" s="46" t="str">
        <f t="shared" ca="1" si="2"/>
        <v xml:space="preserve">Устройство обрешетки с прозорами из досок и брусков под кровлю: из листовой стали
100 м2
3906 руб. НР 71%=83%*0,85 от ФОТ (5501 руб.)
2861 руб.СП 52%=65%*0,8 от ФОТ (5501 руб.)
</v>
      </c>
      <c r="D77" s="44">
        <v>1.99</v>
      </c>
      <c r="E77" s="47" t="s">
        <v>262</v>
      </c>
      <c r="F77" s="47" t="s">
        <v>263</v>
      </c>
      <c r="G77" s="47">
        <v>1570.73</v>
      </c>
      <c r="H77" s="58" t="s">
        <v>264</v>
      </c>
      <c r="I77" s="48">
        <v>22918</v>
      </c>
      <c r="J77" s="47">
        <v>5358</v>
      </c>
      <c r="K77" s="47" t="s">
        <v>265</v>
      </c>
      <c r="L77" s="47" t="str">
        <f>IF(1.99*1570.73=0," ",TEXT(,ROUND((1.99*1570.73*5.45),2)))</f>
        <v>17035,35</v>
      </c>
      <c r="M77" s="47" t="s">
        <v>266</v>
      </c>
      <c r="N77" s="47" t="s">
        <v>267</v>
      </c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  <c r="AA77" s="50" t="s">
        <v>38</v>
      </c>
      <c r="AB77" s="50" t="s">
        <v>39</v>
      </c>
      <c r="AC77" s="50">
        <v>3906</v>
      </c>
      <c r="AD77" s="50">
        <v>2861</v>
      </c>
      <c r="AE77" s="50"/>
      <c r="AF77" s="50" t="s">
        <v>268</v>
      </c>
      <c r="AG77" s="50" t="s">
        <v>257</v>
      </c>
      <c r="AH77" s="50"/>
      <c r="AI77" s="50">
        <f>5358+143</f>
        <v>5501</v>
      </c>
    </row>
    <row r="78" spans="1:35" ht="79.2" x14ac:dyDescent="0.25">
      <c r="A78" s="44">
        <v>43</v>
      </c>
      <c r="B78" s="45" t="s">
        <v>207</v>
      </c>
      <c r="C78" s="46" t="str">
        <f t="shared" ca="1" si="2"/>
        <v xml:space="preserve">Доски необрезные хвойных пород длиной: 4-6,5 м, все ширины, толщиной 32-40 мм, III сорта
м3
</v>
      </c>
      <c r="D78" s="44">
        <v>-3.5819999999999999</v>
      </c>
      <c r="E78" s="47">
        <v>832.7</v>
      </c>
      <c r="F78" s="47"/>
      <c r="G78" s="47">
        <v>832.7</v>
      </c>
      <c r="H78" s="58" t="s">
        <v>208</v>
      </c>
      <c r="I78" s="48">
        <v>-16615</v>
      </c>
      <c r="J78" s="47"/>
      <c r="K78" s="47"/>
      <c r="L78" s="47" t="str">
        <f>IF(-3.582*832.7=0," ",TEXT(,ROUND((-3.582*832.7*5.57),2)))</f>
        <v>-16613,81</v>
      </c>
      <c r="M78" s="47"/>
      <c r="N78" s="47"/>
      <c r="O78" s="49"/>
      <c r="P78" s="49"/>
      <c r="Q78" s="49"/>
      <c r="R78" s="49"/>
      <c r="S78" s="49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 t="s">
        <v>209</v>
      </c>
      <c r="AG78" s="50" t="s">
        <v>168</v>
      </c>
      <c r="AH78" s="50"/>
      <c r="AI78" s="50">
        <f>0+0</f>
        <v>0</v>
      </c>
    </row>
    <row r="79" spans="1:35" ht="79.2" x14ac:dyDescent="0.25">
      <c r="A79" s="44">
        <v>44</v>
      </c>
      <c r="B79" s="45" t="s">
        <v>210</v>
      </c>
      <c r="C79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79" s="44">
        <v>3.98</v>
      </c>
      <c r="E79" s="47">
        <v>1320</v>
      </c>
      <c r="F79" s="47"/>
      <c r="G79" s="47">
        <v>1320</v>
      </c>
      <c r="H79" s="58" t="s">
        <v>211</v>
      </c>
      <c r="I79" s="48">
        <v>22014</v>
      </c>
      <c r="J79" s="47"/>
      <c r="K79" s="47"/>
      <c r="L79" s="47" t="str">
        <f>IF(3.98*1320=0," ",TEXT(,ROUND((3.98*1320*4.19),2)))</f>
        <v>22012,58</v>
      </c>
      <c r="M79" s="47"/>
      <c r="N79" s="47"/>
      <c r="O79" s="49"/>
      <c r="P79" s="49"/>
      <c r="Q79" s="49"/>
      <c r="R79" s="49"/>
      <c r="S79" s="49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 t="s">
        <v>212</v>
      </c>
      <c r="AG79" s="50" t="s">
        <v>168</v>
      </c>
      <c r="AH79" s="50"/>
      <c r="AI79" s="50">
        <f>0+0</f>
        <v>0</v>
      </c>
    </row>
    <row r="80" spans="1:35" ht="105.6" x14ac:dyDescent="0.25">
      <c r="A80" s="44">
        <v>45</v>
      </c>
      <c r="B80" s="45" t="s">
        <v>269</v>
      </c>
      <c r="C80" s="46" t="str">
        <f t="shared" ca="1" si="2"/>
        <v xml:space="preserve">Укладка по фермам прогонов: из досок
1 м3 древесины в конструкции
1589 руб. НР 90%=118%*(0,85*0,9) от ФОТ (1765 руб.)
759 руб.СП 43%=63%*(0,8*0,85) от ФОТ (1765 руб.)
</v>
      </c>
      <c r="D80" s="44">
        <v>0.7</v>
      </c>
      <c r="E80" s="47" t="s">
        <v>270</v>
      </c>
      <c r="F80" s="47" t="s">
        <v>271</v>
      </c>
      <c r="G80" s="47">
        <v>1723.81</v>
      </c>
      <c r="H80" s="58" t="s">
        <v>272</v>
      </c>
      <c r="I80" s="48">
        <v>7040</v>
      </c>
      <c r="J80" s="47">
        <v>1749</v>
      </c>
      <c r="K80" s="47" t="s">
        <v>273</v>
      </c>
      <c r="L80" s="47" t="str">
        <f>IF(0.7*1723.81=0," ",TEXT(,ROUND((0.7*1723.81*4.09),2)))</f>
        <v>4935,27</v>
      </c>
      <c r="M80" s="47" t="s">
        <v>274</v>
      </c>
      <c r="N80" s="47" t="s">
        <v>275</v>
      </c>
      <c r="O80" s="49"/>
      <c r="P80" s="49"/>
      <c r="Q80" s="49"/>
      <c r="R80" s="49"/>
      <c r="S80" s="49"/>
      <c r="T80" s="50"/>
      <c r="U80" s="50"/>
      <c r="V80" s="50"/>
      <c r="W80" s="50"/>
      <c r="X80" s="50"/>
      <c r="Y80" s="50"/>
      <c r="Z80" s="50"/>
      <c r="AA80" s="50" t="s">
        <v>84</v>
      </c>
      <c r="AB80" s="50" t="s">
        <v>85</v>
      </c>
      <c r="AC80" s="50">
        <v>1589</v>
      </c>
      <c r="AD80" s="50">
        <v>759</v>
      </c>
      <c r="AE80" s="50"/>
      <c r="AF80" s="50" t="s">
        <v>276</v>
      </c>
      <c r="AG80" s="50" t="s">
        <v>217</v>
      </c>
      <c r="AH80" s="50"/>
      <c r="AI80" s="50">
        <f>1749+16</f>
        <v>1765</v>
      </c>
    </row>
    <row r="81" spans="1:35" ht="79.2" x14ac:dyDescent="0.25">
      <c r="A81" s="44">
        <v>46</v>
      </c>
      <c r="B81" s="45" t="s">
        <v>277</v>
      </c>
      <c r="C81" s="46" t="str">
        <f t="shared" ca="1" si="2"/>
        <v xml:space="preserve">Доски обрезные хвойных пород длиной: 4-6,5 м, шириной 75-150 мм, толщиной 44 мм и более, I сорта
м3
</v>
      </c>
      <c r="D81" s="44">
        <v>-0.70699999999999996</v>
      </c>
      <c r="E81" s="47">
        <v>1572</v>
      </c>
      <c r="F81" s="47"/>
      <c r="G81" s="47">
        <v>1572</v>
      </c>
      <c r="H81" s="58" t="s">
        <v>278</v>
      </c>
      <c r="I81" s="48">
        <v>-3908</v>
      </c>
      <c r="J81" s="47"/>
      <c r="K81" s="47"/>
      <c r="L81" s="47" t="str">
        <f>IF(-0.707*1572=0," ",TEXT(,ROUND((-0.707*1572*3.518),2)))</f>
        <v>-3909,92</v>
      </c>
      <c r="M81" s="47"/>
      <c r="N81" s="47"/>
      <c r="O81" s="49"/>
      <c r="P81" s="49"/>
      <c r="Q81" s="49"/>
      <c r="R81" s="49"/>
      <c r="S81" s="49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 t="s">
        <v>279</v>
      </c>
      <c r="AG81" s="50" t="s">
        <v>168</v>
      </c>
      <c r="AH81" s="50"/>
      <c r="AI81" s="50">
        <f>0+0</f>
        <v>0</v>
      </c>
    </row>
    <row r="82" spans="1:35" ht="79.2" x14ac:dyDescent="0.25">
      <c r="A82" s="44">
        <v>47</v>
      </c>
      <c r="B82" s="45" t="s">
        <v>280</v>
      </c>
      <c r="C82" s="46" t="str">
        <f t="shared" ca="1" si="2"/>
        <v xml:space="preserve">Доски обрезные хвойных пород длиной: 4-6,5 м, шириной 75-150 мм, толщиной 44 мм и более, III сорта
м3
</v>
      </c>
      <c r="D82" s="44">
        <v>-2.8000000000000001E-2</v>
      </c>
      <c r="E82" s="47">
        <v>1056</v>
      </c>
      <c r="F82" s="47"/>
      <c r="G82" s="47">
        <v>1056</v>
      </c>
      <c r="H82" s="58" t="s">
        <v>281</v>
      </c>
      <c r="I82" s="48">
        <v>-157</v>
      </c>
      <c r="J82" s="47"/>
      <c r="K82" s="47"/>
      <c r="L82" s="47" t="str">
        <f>IF(-0.028*1056=0," ",TEXT(,ROUND((-0.028*1056*5.238),2)))</f>
        <v>-154,88</v>
      </c>
      <c r="M82" s="47"/>
      <c r="N82" s="47"/>
      <c r="O82" s="49"/>
      <c r="P82" s="49"/>
      <c r="Q82" s="49"/>
      <c r="R82" s="49"/>
      <c r="S82" s="49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 t="s">
        <v>282</v>
      </c>
      <c r="AG82" s="50" t="s">
        <v>168</v>
      </c>
      <c r="AH82" s="50"/>
      <c r="AI82" s="50">
        <f>0+0</f>
        <v>0</v>
      </c>
    </row>
    <row r="83" spans="1:35" ht="79.2" x14ac:dyDescent="0.25">
      <c r="A83" s="44">
        <v>48</v>
      </c>
      <c r="B83" s="45" t="s">
        <v>283</v>
      </c>
      <c r="C83" s="46" t="str">
        <f t="shared" ca="1" si="2"/>
        <v xml:space="preserve">Доски обрезные хвойных пород длиной: 4-6,5 м, шириной 75-150, мм толщиной 19-22 мм, II сорта
м3
</v>
      </c>
      <c r="D83" s="44">
        <v>0.7</v>
      </c>
      <c r="E83" s="47">
        <v>1492.01</v>
      </c>
      <c r="F83" s="47"/>
      <c r="G83" s="47">
        <v>1492.01</v>
      </c>
      <c r="H83" s="58" t="s">
        <v>284</v>
      </c>
      <c r="I83" s="48">
        <v>3870</v>
      </c>
      <c r="J83" s="47"/>
      <c r="K83" s="47"/>
      <c r="L83" s="47" t="str">
        <f>IF(0.7*1492.01=0," ",TEXT(,ROUND((0.7*1492.01*3.707),2)))</f>
        <v>3871,62</v>
      </c>
      <c r="M83" s="47"/>
      <c r="N83" s="47"/>
      <c r="O83" s="49"/>
      <c r="P83" s="49"/>
      <c r="Q83" s="49"/>
      <c r="R83" s="49"/>
      <c r="S83" s="49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 t="s">
        <v>285</v>
      </c>
      <c r="AG83" s="50" t="s">
        <v>168</v>
      </c>
      <c r="AH83" s="50"/>
      <c r="AI83" s="50">
        <f>0+0</f>
        <v>0</v>
      </c>
    </row>
    <row r="84" spans="1:35" ht="118.8" x14ac:dyDescent="0.25">
      <c r="A84" s="44">
        <v>49</v>
      </c>
      <c r="B84" s="45" t="s">
        <v>126</v>
      </c>
      <c r="C84" s="46" t="str">
        <f t="shared" ca="1" si="2"/>
        <v xml:space="preserve">Устройство покрытия из рулонных материалов: насухо без промазки кромок
100 м2 кровли
2269 руб. НР 71%=83%*0,85 от ФОТ (3196 руб.)
1662 руб.СП 52%=65%*0,8 от ФОТ (3196 руб.)
</v>
      </c>
      <c r="D84" s="44">
        <v>5.54</v>
      </c>
      <c r="E84" s="47" t="s">
        <v>127</v>
      </c>
      <c r="F84" s="47">
        <v>5.23</v>
      </c>
      <c r="G84" s="47">
        <v>883.33</v>
      </c>
      <c r="H84" s="58" t="s">
        <v>128</v>
      </c>
      <c r="I84" s="48">
        <v>29028</v>
      </c>
      <c r="J84" s="47">
        <v>3196</v>
      </c>
      <c r="K84" s="47">
        <v>336</v>
      </c>
      <c r="L84" s="47" t="str">
        <f>IF(5.54*883.33=0," ",TEXT(,ROUND((5.54*883.33*5.21),2)))</f>
        <v>25495,91</v>
      </c>
      <c r="M84" s="47">
        <v>4.5199999999999996</v>
      </c>
      <c r="N84" s="47">
        <v>25.04</v>
      </c>
      <c r="O84" s="49"/>
      <c r="P84" s="49"/>
      <c r="Q84" s="49"/>
      <c r="R84" s="49"/>
      <c r="S84" s="49"/>
      <c r="T84" s="50"/>
      <c r="U84" s="50"/>
      <c r="V84" s="50"/>
      <c r="W84" s="50"/>
      <c r="X84" s="50"/>
      <c r="Y84" s="50"/>
      <c r="Z84" s="50"/>
      <c r="AA84" s="50" t="s">
        <v>38</v>
      </c>
      <c r="AB84" s="50" t="s">
        <v>39</v>
      </c>
      <c r="AC84" s="50">
        <v>2269</v>
      </c>
      <c r="AD84" s="50">
        <v>1662</v>
      </c>
      <c r="AE84" s="50"/>
      <c r="AF84" s="50" t="s">
        <v>129</v>
      </c>
      <c r="AG84" s="50" t="s">
        <v>57</v>
      </c>
      <c r="AH84" s="50"/>
      <c r="AI84" s="50">
        <f>3196+0</f>
        <v>3196</v>
      </c>
    </row>
    <row r="85" spans="1:35" ht="66" x14ac:dyDescent="0.25">
      <c r="A85" s="44">
        <v>50</v>
      </c>
      <c r="B85" s="45" t="s">
        <v>130</v>
      </c>
      <c r="C85" s="46" t="str">
        <f t="shared" ca="1" si="2"/>
        <v xml:space="preserve">Рубероид кровельный с крупнозернистой посыпкой марки: РКК-350б
м2
</v>
      </c>
      <c r="D85" s="44">
        <v>-637.1</v>
      </c>
      <c r="E85" s="47">
        <v>7.46</v>
      </c>
      <c r="F85" s="47"/>
      <c r="G85" s="47">
        <v>7.46</v>
      </c>
      <c r="H85" s="58" t="s">
        <v>131</v>
      </c>
      <c r="I85" s="48">
        <v>-24882</v>
      </c>
      <c r="J85" s="47"/>
      <c r="K85" s="47"/>
      <c r="L85" s="47" t="str">
        <f>IF(-637.1*7.46=0," ",TEXT(,ROUND((-637.1*7.46*5.235),2)))</f>
        <v>-24880,73</v>
      </c>
      <c r="M85" s="47"/>
      <c r="N85" s="47"/>
      <c r="O85" s="49"/>
      <c r="P85" s="49"/>
      <c r="Q85" s="49"/>
      <c r="R85" s="49"/>
      <c r="S85" s="49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 t="s">
        <v>132</v>
      </c>
      <c r="AG85" s="50" t="s">
        <v>133</v>
      </c>
      <c r="AH85" s="50"/>
      <c r="AI85" s="50">
        <f>0+0</f>
        <v>0</v>
      </c>
    </row>
    <row r="86" spans="1:35" ht="52.8" x14ac:dyDescent="0.25">
      <c r="A86" s="44">
        <v>51</v>
      </c>
      <c r="B86" s="45" t="s">
        <v>286</v>
      </c>
      <c r="C86" s="46" t="str">
        <f t="shared" ca="1" si="2"/>
        <v xml:space="preserve">ИЗОСПАН: D
10 м2
</v>
      </c>
      <c r="D86" s="44">
        <v>63.71</v>
      </c>
      <c r="E86" s="47">
        <v>37.5</v>
      </c>
      <c r="F86" s="47"/>
      <c r="G86" s="47">
        <v>37.5</v>
      </c>
      <c r="H86" s="58" t="s">
        <v>287</v>
      </c>
      <c r="I86" s="48">
        <v>10662</v>
      </c>
      <c r="J86" s="47"/>
      <c r="K86" s="47"/>
      <c r="L86" s="47" t="str">
        <f>IF(63.71*37.5=0," ",TEXT(,ROUND((63.71*37.5*4.463),2)))</f>
        <v>10662,66</v>
      </c>
      <c r="M86" s="47"/>
      <c r="N86" s="47"/>
      <c r="O86" s="49"/>
      <c r="P86" s="49"/>
      <c r="Q86" s="49"/>
      <c r="R86" s="49"/>
      <c r="S86" s="49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 t="s">
        <v>288</v>
      </c>
      <c r="AG86" s="50" t="s">
        <v>137</v>
      </c>
      <c r="AH86" s="50"/>
      <c r="AI86" s="50">
        <f>0+0</f>
        <v>0</v>
      </c>
    </row>
    <row r="87" spans="1:35" ht="105.6" x14ac:dyDescent="0.25">
      <c r="A87" s="44">
        <v>52</v>
      </c>
      <c r="B87" s="45" t="s">
        <v>289</v>
      </c>
      <c r="C87" s="46" t="str">
        <f t="shared" ca="1" si="2"/>
        <v xml:space="preserve">Устройство слуховых окон
1 слуховое окно
2876 руб. НР 90%=118%*(0,85*0,9) от ФОТ (3196 руб.)
1374 руб.СП 43%=63%*(0,8*0,85) от ФОТ (3196 руб.)
</v>
      </c>
      <c r="D87" s="44">
        <v>3</v>
      </c>
      <c r="E87" s="47" t="s">
        <v>290</v>
      </c>
      <c r="F87" s="47" t="s">
        <v>291</v>
      </c>
      <c r="G87" s="47">
        <v>300.2</v>
      </c>
      <c r="H87" s="58" t="s">
        <v>292</v>
      </c>
      <c r="I87" s="48">
        <v>9014</v>
      </c>
      <c r="J87" s="47">
        <v>3116</v>
      </c>
      <c r="K87" s="47" t="s">
        <v>293</v>
      </c>
      <c r="L87" s="47" t="str">
        <f>IF(3*300.2=0," ",TEXT(,ROUND((3*300.2*5.5),2)))</f>
        <v>4953,3</v>
      </c>
      <c r="M87" s="47" t="s">
        <v>294</v>
      </c>
      <c r="N87" s="47" t="s">
        <v>295</v>
      </c>
      <c r="O87" s="49"/>
      <c r="P87" s="49"/>
      <c r="Q87" s="49"/>
      <c r="R87" s="49"/>
      <c r="S87" s="49"/>
      <c r="T87" s="50"/>
      <c r="U87" s="50"/>
      <c r="V87" s="50"/>
      <c r="W87" s="50"/>
      <c r="X87" s="50"/>
      <c r="Y87" s="50"/>
      <c r="Z87" s="50"/>
      <c r="AA87" s="50" t="s">
        <v>84</v>
      </c>
      <c r="AB87" s="50" t="s">
        <v>85</v>
      </c>
      <c r="AC87" s="50">
        <v>2876</v>
      </c>
      <c r="AD87" s="50">
        <v>1374</v>
      </c>
      <c r="AE87" s="50"/>
      <c r="AF87" s="50" t="s">
        <v>296</v>
      </c>
      <c r="AG87" s="50" t="s">
        <v>297</v>
      </c>
      <c r="AH87" s="50"/>
      <c r="AI87" s="50">
        <f>3116+80</f>
        <v>3196</v>
      </c>
    </row>
    <row r="88" spans="1:35" ht="66" x14ac:dyDescent="0.25">
      <c r="A88" s="44">
        <v>53</v>
      </c>
      <c r="B88" s="45" t="s">
        <v>298</v>
      </c>
      <c r="C88" s="46" t="str">
        <f t="shared" ca="1" si="2"/>
        <v xml:space="preserve">Петли форточные накладные размером 70х55 мм
компл.
</v>
      </c>
      <c r="D88" s="44">
        <v>3</v>
      </c>
      <c r="E88" s="47">
        <v>3.74</v>
      </c>
      <c r="F88" s="47"/>
      <c r="G88" s="47">
        <v>3.74</v>
      </c>
      <c r="H88" s="58" t="s">
        <v>299</v>
      </c>
      <c r="I88" s="48">
        <v>21</v>
      </c>
      <c r="J88" s="47"/>
      <c r="K88" s="47"/>
      <c r="L88" s="47" t="str">
        <f>IF(3*3.74=0," ",TEXT(,ROUND((3*3.74*1.875),2)))</f>
        <v>21,04</v>
      </c>
      <c r="M88" s="47"/>
      <c r="N88" s="47"/>
      <c r="O88" s="49"/>
      <c r="P88" s="49"/>
      <c r="Q88" s="49"/>
      <c r="R88" s="49"/>
      <c r="S88" s="49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 t="s">
        <v>300</v>
      </c>
      <c r="AG88" s="50" t="s">
        <v>301</v>
      </c>
      <c r="AH88" s="50"/>
      <c r="AI88" s="50">
        <f>0+0</f>
        <v>0</v>
      </c>
    </row>
    <row r="89" spans="1:35" ht="66" x14ac:dyDescent="0.25">
      <c r="A89" s="44">
        <v>54</v>
      </c>
      <c r="B89" s="45" t="s">
        <v>302</v>
      </c>
      <c r="C89" s="46" t="str">
        <f t="shared" ca="1" si="2"/>
        <v xml:space="preserve">Шпингалеты дверные размером 230х26 мм, оцинкованные или окрашенные
компл.
</v>
      </c>
      <c r="D89" s="44">
        <v>3</v>
      </c>
      <c r="E89" s="47">
        <v>13.42</v>
      </c>
      <c r="F89" s="47"/>
      <c r="G89" s="47">
        <v>13.42</v>
      </c>
      <c r="H89" s="58" t="s">
        <v>303</v>
      </c>
      <c r="I89" s="48">
        <v>212</v>
      </c>
      <c r="J89" s="47"/>
      <c r="K89" s="47"/>
      <c r="L89" s="47" t="str">
        <f>IF(3*13.42=0," ",TEXT(,ROUND((3*13.42*5.297),2)))</f>
        <v>213,26</v>
      </c>
      <c r="M89" s="47"/>
      <c r="N89" s="47"/>
      <c r="O89" s="49"/>
      <c r="P89" s="49"/>
      <c r="Q89" s="49"/>
      <c r="R89" s="49"/>
      <c r="S89" s="49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 t="s">
        <v>304</v>
      </c>
      <c r="AG89" s="50" t="s">
        <v>301</v>
      </c>
      <c r="AH89" s="50"/>
      <c r="AI89" s="50">
        <f>0+0</f>
        <v>0</v>
      </c>
    </row>
    <row r="90" spans="1:35" ht="66" x14ac:dyDescent="0.25">
      <c r="A90" s="44">
        <v>55</v>
      </c>
      <c r="B90" s="45" t="s">
        <v>305</v>
      </c>
      <c r="C90" s="46" t="str">
        <f t="shared" ca="1" si="2"/>
        <v xml:space="preserve">Створки оконные для жилых зданий площадь: 0,3-0,4 м2
м2
</v>
      </c>
      <c r="D90" s="44">
        <v>-1.5</v>
      </c>
      <c r="E90" s="47">
        <v>151.4</v>
      </c>
      <c r="F90" s="47"/>
      <c r="G90" s="47">
        <v>151.4</v>
      </c>
      <c r="H90" s="58" t="s">
        <v>306</v>
      </c>
      <c r="I90" s="48">
        <v>-1760</v>
      </c>
      <c r="J90" s="47"/>
      <c r="K90" s="47"/>
      <c r="L90" s="47" t="str">
        <f>IF(-1.5*151.4=0," ",TEXT(,ROUND((-1.5*151.4*7.752),2)))</f>
        <v>-1760,48</v>
      </c>
      <c r="M90" s="47"/>
      <c r="N90" s="47"/>
      <c r="O90" s="49"/>
      <c r="P90" s="49"/>
      <c r="Q90" s="49"/>
      <c r="R90" s="49"/>
      <c r="S90" s="49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 t="s">
        <v>307</v>
      </c>
      <c r="AG90" s="50" t="s">
        <v>133</v>
      </c>
      <c r="AH90" s="50"/>
      <c r="AI90" s="50">
        <f>0+0</f>
        <v>0</v>
      </c>
    </row>
    <row r="91" spans="1:35" ht="66" x14ac:dyDescent="0.25">
      <c r="A91" s="44">
        <v>56</v>
      </c>
      <c r="B91" s="45" t="s">
        <v>308</v>
      </c>
      <c r="C91" s="46" t="str">
        <f t="shared" ca="1" si="2"/>
        <v xml:space="preserve">Створки оконные для жилых зданий площадь: 0,8-1,0 м2
м2
</v>
      </c>
      <c r="D91" s="44">
        <v>3</v>
      </c>
      <c r="E91" s="47">
        <v>161.93</v>
      </c>
      <c r="F91" s="47"/>
      <c r="G91" s="47">
        <v>161.93</v>
      </c>
      <c r="H91" s="58" t="s">
        <v>309</v>
      </c>
      <c r="I91" s="48">
        <v>2591</v>
      </c>
      <c r="J91" s="47"/>
      <c r="K91" s="47"/>
      <c r="L91" s="47" t="str">
        <f>IF(3*161.93=0," ",TEXT(,ROUND((3*161.93*5.332),2)))</f>
        <v>2590,23</v>
      </c>
      <c r="M91" s="47"/>
      <c r="N91" s="47"/>
      <c r="O91" s="49"/>
      <c r="P91" s="49"/>
      <c r="Q91" s="49"/>
      <c r="R91" s="49"/>
      <c r="S91" s="49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 t="s">
        <v>310</v>
      </c>
      <c r="AG91" s="50" t="s">
        <v>133</v>
      </c>
      <c r="AH91" s="50"/>
      <c r="AI91" s="50">
        <f>0+0</f>
        <v>0</v>
      </c>
    </row>
    <row r="92" spans="1:35" ht="171.6" x14ac:dyDescent="0.25">
      <c r="A92" s="44">
        <v>57</v>
      </c>
      <c r="B92" s="45" t="s">
        <v>311</v>
      </c>
      <c r="C92" s="46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
100 м2 обрабатываемой поверхности
24719 руб. НР 77%=100%*(0,85*0,9) от ФОТ (32102 руб.)
15409 руб.СП 48%=70%*(0,8*0,85) от ФОТ (32102 руб.)
</v>
      </c>
      <c r="D92" s="44">
        <v>20.757999999999999</v>
      </c>
      <c r="E92" s="47" t="s">
        <v>312</v>
      </c>
      <c r="F92" s="47" t="s">
        <v>313</v>
      </c>
      <c r="G92" s="47">
        <v>1.83</v>
      </c>
      <c r="H92" s="58" t="s">
        <v>314</v>
      </c>
      <c r="I92" s="48">
        <v>54138</v>
      </c>
      <c r="J92" s="47">
        <v>31657</v>
      </c>
      <c r="K92" s="47" t="s">
        <v>315</v>
      </c>
      <c r="L92" s="47" t="str">
        <f>IF(20.758*1.83=0," ",TEXT(,ROUND((20.758*1.83*16.82),2)))</f>
        <v>638,94</v>
      </c>
      <c r="M92" s="47" t="s">
        <v>316</v>
      </c>
      <c r="N92" s="47" t="s">
        <v>317</v>
      </c>
      <c r="O92" s="49"/>
      <c r="P92" s="49"/>
      <c r="Q92" s="49"/>
      <c r="R92" s="49"/>
      <c r="S92" s="49"/>
      <c r="T92" s="50"/>
      <c r="U92" s="50"/>
      <c r="V92" s="50"/>
      <c r="W92" s="50"/>
      <c r="X92" s="50"/>
      <c r="Y92" s="50"/>
      <c r="Z92" s="50"/>
      <c r="AA92" s="50" t="s">
        <v>188</v>
      </c>
      <c r="AB92" s="50" t="s">
        <v>32</v>
      </c>
      <c r="AC92" s="50">
        <v>24719</v>
      </c>
      <c r="AD92" s="50">
        <v>15409</v>
      </c>
      <c r="AE92" s="50"/>
      <c r="AF92" s="50" t="s">
        <v>318</v>
      </c>
      <c r="AG92" s="50" t="s">
        <v>319</v>
      </c>
      <c r="AH92" s="50"/>
      <c r="AI92" s="50">
        <f>31657+445</f>
        <v>32102</v>
      </c>
    </row>
    <row r="93" spans="1:35" ht="66" x14ac:dyDescent="0.25">
      <c r="A93" s="44">
        <v>58</v>
      </c>
      <c r="B93" s="45" t="s">
        <v>320</v>
      </c>
      <c r="C93" s="46" t="str">
        <f t="shared" ca="1" si="2"/>
        <v xml:space="preserve">Антисептик-антипирен «ПИРИЛАКС-ТЕРМА» для древесины
кг
</v>
      </c>
      <c r="D93" s="44">
        <v>429.7</v>
      </c>
      <c r="E93" s="47">
        <v>15.16</v>
      </c>
      <c r="F93" s="47"/>
      <c r="G93" s="47">
        <v>15.16</v>
      </c>
      <c r="H93" s="58" t="s">
        <v>321</v>
      </c>
      <c r="I93" s="48">
        <v>61460</v>
      </c>
      <c r="J93" s="47"/>
      <c r="K93" s="47"/>
      <c r="L93" s="47" t="str">
        <f>IF(429.7*15.16=0," ",TEXT(,ROUND((429.7*15.16*9.435),2)))</f>
        <v>61461,97</v>
      </c>
      <c r="M93" s="47"/>
      <c r="N93" s="47"/>
      <c r="O93" s="49"/>
      <c r="P93" s="49"/>
      <c r="Q93" s="49"/>
      <c r="R93" s="49"/>
      <c r="S93" s="49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 t="s">
        <v>322</v>
      </c>
      <c r="AG93" s="50" t="s">
        <v>323</v>
      </c>
      <c r="AH93" s="50"/>
      <c r="AI93" s="50">
        <f>0+0</f>
        <v>0</v>
      </c>
    </row>
    <row r="94" spans="1:35" ht="118.8" x14ac:dyDescent="0.25">
      <c r="A94" s="44">
        <v>59</v>
      </c>
      <c r="B94" s="45" t="s">
        <v>324</v>
      </c>
      <c r="C94" s="46" t="str">
        <f t="shared" ca="1" si="2"/>
        <v xml:space="preserve">Устройство кровли из металлочерепицы по готовым прогонам: простая кровля
100 м2 кровли
30367 руб. НР 92%=120%*(0,85*0,9) от ФОТ (33008 руб.)
14524 руб.СП 44%=65%*(0,8*0,85) от ФОТ (33008 руб.)
</v>
      </c>
      <c r="D94" s="44">
        <v>5.24</v>
      </c>
      <c r="E94" s="47" t="s">
        <v>325</v>
      </c>
      <c r="F94" s="47" t="s">
        <v>326</v>
      </c>
      <c r="G94" s="47">
        <v>9149.44</v>
      </c>
      <c r="H94" s="58" t="s">
        <v>327</v>
      </c>
      <c r="I94" s="48">
        <v>227412</v>
      </c>
      <c r="J94" s="47">
        <v>31895</v>
      </c>
      <c r="K94" s="47" t="s">
        <v>328</v>
      </c>
      <c r="L94" s="47" t="str">
        <f>IF(5.24*9149.44=0," ",TEXT(,ROUND((5.24*9149.44*3.9),2)))</f>
        <v>186977,96</v>
      </c>
      <c r="M94" s="47" t="s">
        <v>329</v>
      </c>
      <c r="N94" s="47" t="s">
        <v>330</v>
      </c>
      <c r="O94" s="49"/>
      <c r="P94" s="49"/>
      <c r="Q94" s="49"/>
      <c r="R94" s="49"/>
      <c r="S94" s="49"/>
      <c r="T94" s="50"/>
      <c r="U94" s="50"/>
      <c r="V94" s="50"/>
      <c r="W94" s="50"/>
      <c r="X94" s="50"/>
      <c r="Y94" s="50"/>
      <c r="Z94" s="50"/>
      <c r="AA94" s="50" t="s">
        <v>145</v>
      </c>
      <c r="AB94" s="50" t="s">
        <v>146</v>
      </c>
      <c r="AC94" s="50">
        <v>30367</v>
      </c>
      <c r="AD94" s="50">
        <v>14524</v>
      </c>
      <c r="AE94" s="50"/>
      <c r="AF94" s="50" t="s">
        <v>331</v>
      </c>
      <c r="AG94" s="50" t="s">
        <v>57</v>
      </c>
      <c r="AH94" s="50"/>
      <c r="AI94" s="50">
        <f>31895+1113</f>
        <v>33008</v>
      </c>
    </row>
    <row r="95" spans="1:35" ht="52.8" x14ac:dyDescent="0.25">
      <c r="A95" s="44">
        <v>60</v>
      </c>
      <c r="B95" s="45" t="s">
        <v>332</v>
      </c>
      <c r="C95" s="46" t="str">
        <f t="shared" ca="1" si="2"/>
        <v xml:space="preserve">Металлочерепица «Монтеррей»
м2
</v>
      </c>
      <c r="D95" s="44">
        <v>-639.29999999999995</v>
      </c>
      <c r="E95" s="47">
        <v>70.5</v>
      </c>
      <c r="F95" s="47"/>
      <c r="G95" s="47">
        <v>70.5</v>
      </c>
      <c r="H95" s="58" t="s">
        <v>333</v>
      </c>
      <c r="I95" s="48">
        <v>-167935</v>
      </c>
      <c r="J95" s="47"/>
      <c r="K95" s="47"/>
      <c r="L95" s="47" t="str">
        <f>IF(-639.3*70.5=0," ",TEXT(,ROUND((-639.3*70.5*3.726),2)))</f>
        <v>-167933,24</v>
      </c>
      <c r="M95" s="47"/>
      <c r="N95" s="47"/>
      <c r="O95" s="49"/>
      <c r="P95" s="49"/>
      <c r="Q95" s="49"/>
      <c r="R95" s="49"/>
      <c r="S95" s="49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 t="s">
        <v>334</v>
      </c>
      <c r="AG95" s="50" t="s">
        <v>133</v>
      </c>
      <c r="AH95" s="50"/>
      <c r="AI95" s="50">
        <f>0+0</f>
        <v>0</v>
      </c>
    </row>
    <row r="96" spans="1:35" ht="66" x14ac:dyDescent="0.25">
      <c r="A96" s="44">
        <v>61</v>
      </c>
      <c r="B96" s="45" t="s">
        <v>335</v>
      </c>
      <c r="C96" s="46" t="str">
        <f t="shared" ca="1" si="2"/>
        <v xml:space="preserve">Профилированный настил оцинкованный: С44-1000-0,7
т
</v>
      </c>
      <c r="D96" s="44" t="s">
        <v>336</v>
      </c>
      <c r="E96" s="47">
        <v>10091.209999999999</v>
      </c>
      <c r="F96" s="47"/>
      <c r="G96" s="47">
        <v>10091.209999999999</v>
      </c>
      <c r="H96" s="58" t="s">
        <v>337</v>
      </c>
      <c r="I96" s="48">
        <v>209285</v>
      </c>
      <c r="J96" s="47"/>
      <c r="K96" s="47"/>
      <c r="L96" s="47" t="str">
        <f>IF(4.78412*10091.21=0," ",TEXT(,ROUND((4.78412*10091.21*4.335),2)))</f>
        <v>209283,22</v>
      </c>
      <c r="M96" s="47"/>
      <c r="N96" s="47"/>
      <c r="O96" s="49"/>
      <c r="P96" s="49"/>
      <c r="Q96" s="49"/>
      <c r="R96" s="49"/>
      <c r="S96" s="49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 t="s">
        <v>338</v>
      </c>
      <c r="AG96" s="50" t="s">
        <v>158</v>
      </c>
      <c r="AH96" s="50"/>
      <c r="AI96" s="50">
        <f>0+0</f>
        <v>0</v>
      </c>
    </row>
    <row r="97" spans="1:35" ht="66" x14ac:dyDescent="0.25">
      <c r="A97" s="44">
        <v>62</v>
      </c>
      <c r="B97" s="45" t="s">
        <v>339</v>
      </c>
      <c r="C97" s="46" t="str">
        <f t="shared" ca="1" si="2"/>
        <v xml:space="preserve">Сталь листовая оцинкованная толщиной листа: 0,55 мм
т
</v>
      </c>
      <c r="D97" s="44" t="s">
        <v>340</v>
      </c>
      <c r="E97" s="47">
        <v>10484</v>
      </c>
      <c r="F97" s="47"/>
      <c r="G97" s="47">
        <v>10484</v>
      </c>
      <c r="H97" s="58" t="s">
        <v>341</v>
      </c>
      <c r="I97" s="48">
        <v>22718</v>
      </c>
      <c r="J97" s="47"/>
      <c r="K97" s="47"/>
      <c r="L97" s="47" t="str">
        <f>IF(0.5876*10484=0," ",TEXT(,ROUND((0.5876*10484*3.688),2)))</f>
        <v>22719,55</v>
      </c>
      <c r="M97" s="47"/>
      <c r="N97" s="47"/>
      <c r="O97" s="49"/>
      <c r="P97" s="49"/>
      <c r="Q97" s="49"/>
      <c r="R97" s="49"/>
      <c r="S97" s="49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 t="s">
        <v>342</v>
      </c>
      <c r="AG97" s="50" t="s">
        <v>158</v>
      </c>
      <c r="AH97" s="50"/>
      <c r="AI97" s="50">
        <f>0+0</f>
        <v>0</v>
      </c>
    </row>
    <row r="98" spans="1:35" ht="118.8" x14ac:dyDescent="0.25">
      <c r="A98" s="44">
        <v>63</v>
      </c>
      <c r="B98" s="45" t="s">
        <v>343</v>
      </c>
      <c r="C98" s="46" t="str">
        <f t="shared" ca="1" si="2"/>
        <v xml:space="preserve">Резка стального профилированного настила
1 м реза
3774 руб. НР 69%=90%*(0,85*0,9) от ФОТ (5470 руб.)
3173 руб.СП 58%=85%*(0,8*0,85) от ФОТ (5470 руб.)
</v>
      </c>
      <c r="D98" s="44">
        <v>98</v>
      </c>
      <c r="E98" s="47" t="s">
        <v>344</v>
      </c>
      <c r="F98" s="47">
        <v>0.55000000000000004</v>
      </c>
      <c r="G98" s="47"/>
      <c r="H98" s="58" t="s">
        <v>345</v>
      </c>
      <c r="I98" s="48">
        <v>5607</v>
      </c>
      <c r="J98" s="47">
        <v>5470</v>
      </c>
      <c r="K98" s="47">
        <v>137</v>
      </c>
      <c r="L98" s="47" t="str">
        <f>IF(98*0=0," ",TEXT(,ROUND((98*0*1),2)))</f>
        <v xml:space="preserve"> </v>
      </c>
      <c r="M98" s="47">
        <v>0.34</v>
      </c>
      <c r="N98" s="47">
        <v>33.32</v>
      </c>
      <c r="O98" s="49"/>
      <c r="P98" s="49"/>
      <c r="Q98" s="49"/>
      <c r="R98" s="49"/>
      <c r="S98" s="49"/>
      <c r="T98" s="50"/>
      <c r="U98" s="50"/>
      <c r="V98" s="50"/>
      <c r="W98" s="50"/>
      <c r="X98" s="50"/>
      <c r="Y98" s="50"/>
      <c r="Z98" s="50"/>
      <c r="AA98" s="50" t="s">
        <v>221</v>
      </c>
      <c r="AB98" s="50" t="s">
        <v>222</v>
      </c>
      <c r="AC98" s="50">
        <v>3774</v>
      </c>
      <c r="AD98" s="50">
        <v>3173</v>
      </c>
      <c r="AE98" s="50"/>
      <c r="AF98" s="50" t="s">
        <v>346</v>
      </c>
      <c r="AG98" s="50" t="s">
        <v>347</v>
      </c>
      <c r="AH98" s="50"/>
      <c r="AI98" s="50">
        <f>5470+0</f>
        <v>5470</v>
      </c>
    </row>
    <row r="99" spans="1:35" ht="105.6" x14ac:dyDescent="0.25">
      <c r="A99" s="44">
        <v>64</v>
      </c>
      <c r="B99" s="45" t="s">
        <v>348</v>
      </c>
      <c r="C99" s="46" t="str">
        <f t="shared" ca="1" si="2"/>
        <v xml:space="preserve">Устройство желобов: настенных
100 м желобов
12581 руб. НР 92%=120%*(0,85*0,9) от ФОТ (13675 руб.)
6017 руб.СП 44%=65%*(0,8*0,85) от ФОТ (13675 руб.)
</v>
      </c>
      <c r="D99" s="44">
        <v>0.99199999999999999</v>
      </c>
      <c r="E99" s="47" t="s">
        <v>349</v>
      </c>
      <c r="F99" s="47" t="s">
        <v>350</v>
      </c>
      <c r="G99" s="47">
        <v>17933.62</v>
      </c>
      <c r="H99" s="58" t="s">
        <v>351</v>
      </c>
      <c r="I99" s="48">
        <v>93910</v>
      </c>
      <c r="J99" s="47">
        <v>13118</v>
      </c>
      <c r="K99" s="47" t="s">
        <v>352</v>
      </c>
      <c r="L99" s="47" t="str">
        <f>IF(0.992*17933.62=0," ",TEXT(,ROUND((0.992*17933.62*4.3),2)))</f>
        <v>76497,65</v>
      </c>
      <c r="M99" s="47" t="s">
        <v>353</v>
      </c>
      <c r="N99" s="47" t="s">
        <v>354</v>
      </c>
      <c r="O99" s="49"/>
      <c r="P99" s="49"/>
      <c r="Q99" s="49"/>
      <c r="R99" s="49"/>
      <c r="S99" s="49"/>
      <c r="T99" s="50"/>
      <c r="U99" s="50"/>
      <c r="V99" s="50"/>
      <c r="W99" s="50"/>
      <c r="X99" s="50"/>
      <c r="Y99" s="50"/>
      <c r="Z99" s="50"/>
      <c r="AA99" s="50" t="s">
        <v>145</v>
      </c>
      <c r="AB99" s="50" t="s">
        <v>146</v>
      </c>
      <c r="AC99" s="50">
        <v>12581</v>
      </c>
      <c r="AD99" s="50">
        <v>6017</v>
      </c>
      <c r="AE99" s="50"/>
      <c r="AF99" s="50" t="s">
        <v>355</v>
      </c>
      <c r="AG99" s="50" t="s">
        <v>356</v>
      </c>
      <c r="AH99" s="50"/>
      <c r="AI99" s="50">
        <f>13118+557</f>
        <v>13675</v>
      </c>
    </row>
    <row r="100" spans="1:35" ht="79.2" x14ac:dyDescent="0.25">
      <c r="A100" s="44">
        <v>65</v>
      </c>
      <c r="B100" s="45" t="s">
        <v>357</v>
      </c>
      <c r="C100" s="46" t="str">
        <f t="shared" ca="1" si="2"/>
        <v xml:space="preserve">Доски обрезные хвойных пород длиной: 2-3,75 м, шириной 75-150 мм, толщиной 44 мм и более, III сорта
м3
</v>
      </c>
      <c r="D100" s="44">
        <v>-4.4139999999999997</v>
      </c>
      <c r="E100" s="47">
        <v>968</v>
      </c>
      <c r="F100" s="47"/>
      <c r="G100" s="47">
        <v>968</v>
      </c>
      <c r="H100" s="58" t="s">
        <v>358</v>
      </c>
      <c r="I100" s="48">
        <v>-24416</v>
      </c>
      <c r="J100" s="47"/>
      <c r="K100" s="47"/>
      <c r="L100" s="47" t="str">
        <f>IF(-4.414*968=0," ",TEXT(,ROUND((-4.414*968*5.714),2)))</f>
        <v>-24414,5</v>
      </c>
      <c r="M100" s="47"/>
      <c r="N100" s="47"/>
      <c r="O100" s="49"/>
      <c r="P100" s="49"/>
      <c r="Q100" s="49"/>
      <c r="R100" s="49"/>
      <c r="S100" s="49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 t="s">
        <v>359</v>
      </c>
      <c r="AG100" s="50" t="s">
        <v>168</v>
      </c>
      <c r="AH100" s="50"/>
      <c r="AI100" s="50">
        <f>0+0</f>
        <v>0</v>
      </c>
    </row>
    <row r="101" spans="1:35" ht="79.2" x14ac:dyDescent="0.25">
      <c r="A101" s="44">
        <v>66</v>
      </c>
      <c r="B101" s="45" t="s">
        <v>210</v>
      </c>
      <c r="C101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101" s="44">
        <v>5.016</v>
      </c>
      <c r="E101" s="47">
        <v>1320</v>
      </c>
      <c r="F101" s="47"/>
      <c r="G101" s="47">
        <v>1320</v>
      </c>
      <c r="H101" s="58" t="s">
        <v>211</v>
      </c>
      <c r="I101" s="48">
        <v>27742</v>
      </c>
      <c r="J101" s="47"/>
      <c r="K101" s="47"/>
      <c r="L101" s="47" t="str">
        <f>IF(5.016*1320=0," ",TEXT(,ROUND((5.016*1320*4.19),2)))</f>
        <v>27742,49</v>
      </c>
      <c r="M101" s="47"/>
      <c r="N101" s="47"/>
      <c r="O101" s="49"/>
      <c r="P101" s="49"/>
      <c r="Q101" s="49"/>
      <c r="R101" s="49"/>
      <c r="S101" s="49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 t="s">
        <v>212</v>
      </c>
      <c r="AG101" s="50" t="s">
        <v>168</v>
      </c>
      <c r="AH101" s="50"/>
      <c r="AI101" s="50">
        <f>0+0</f>
        <v>0</v>
      </c>
    </row>
    <row r="102" spans="1:35" ht="66" x14ac:dyDescent="0.25">
      <c r="A102" s="44">
        <v>67</v>
      </c>
      <c r="B102" s="45" t="s">
        <v>360</v>
      </c>
      <c r="C102" s="46" t="str">
        <f t="shared" ca="1" si="2"/>
        <v xml:space="preserve">Сталь листовая оцинкованная толщиной листа: 0,7 мм
т
</v>
      </c>
      <c r="D102" s="44">
        <v>-1.101</v>
      </c>
      <c r="E102" s="47">
        <v>11200</v>
      </c>
      <c r="F102" s="47"/>
      <c r="G102" s="47">
        <v>11200</v>
      </c>
      <c r="H102" s="58" t="s">
        <v>361</v>
      </c>
      <c r="I102" s="48">
        <v>-42221</v>
      </c>
      <c r="J102" s="47"/>
      <c r="K102" s="47"/>
      <c r="L102" s="47" t="str">
        <f>IF(-1.101*11200=0," ",TEXT(,ROUND((-1.101*11200*3.424),2)))</f>
        <v>-42222,03</v>
      </c>
      <c r="M102" s="47"/>
      <c r="N102" s="47"/>
      <c r="O102" s="49"/>
      <c r="P102" s="49"/>
      <c r="Q102" s="49"/>
      <c r="R102" s="49"/>
      <c r="S102" s="49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 t="s">
        <v>362</v>
      </c>
      <c r="AG102" s="50" t="s">
        <v>158</v>
      </c>
      <c r="AH102" s="50"/>
      <c r="AI102" s="50">
        <f>0+0</f>
        <v>0</v>
      </c>
    </row>
    <row r="103" spans="1:35" ht="66" x14ac:dyDescent="0.25">
      <c r="A103" s="44">
        <v>68</v>
      </c>
      <c r="B103" s="45" t="s">
        <v>339</v>
      </c>
      <c r="C103" s="46" t="str">
        <f t="shared" ca="1" si="2"/>
        <v xml:space="preserve">Сталь листовая оцинкованная толщиной листа: 0,55 мм
т
</v>
      </c>
      <c r="D103" s="44">
        <v>0.84072000000000002</v>
      </c>
      <c r="E103" s="47">
        <v>10484</v>
      </c>
      <c r="F103" s="47"/>
      <c r="G103" s="47">
        <v>10484</v>
      </c>
      <c r="H103" s="58" t="s">
        <v>341</v>
      </c>
      <c r="I103" s="48">
        <v>32506</v>
      </c>
      <c r="J103" s="47"/>
      <c r="K103" s="47"/>
      <c r="L103" s="47" t="str">
        <f>IF(0.84072*10484=0," ",TEXT(,ROUND((0.84072*10484*3.688),2)))</f>
        <v>32506,43</v>
      </c>
      <c r="M103" s="47"/>
      <c r="N103" s="47"/>
      <c r="O103" s="49"/>
      <c r="P103" s="49"/>
      <c r="Q103" s="49"/>
      <c r="R103" s="49"/>
      <c r="S103" s="49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 t="s">
        <v>342</v>
      </c>
      <c r="AG103" s="50" t="s">
        <v>158</v>
      </c>
      <c r="AH103" s="50"/>
      <c r="AI103" s="50">
        <f>0+0</f>
        <v>0</v>
      </c>
    </row>
    <row r="104" spans="1:35" ht="105.6" x14ac:dyDescent="0.25">
      <c r="A104" s="44">
        <v>69</v>
      </c>
      <c r="B104" s="45" t="s">
        <v>363</v>
      </c>
      <c r="C104" s="46" t="str">
        <f t="shared" ca="1" si="2"/>
        <v xml:space="preserve">Ограждение кровель перилами
100 м ограждения
981 руб. НР 92%=120%*(0,85*0,9) от ФОТ (1066 руб.)
469 руб.СП 44%=65%*(0,8*0,85) от ФОТ (1066 руб.)
</v>
      </c>
      <c r="D104" s="44" t="s">
        <v>364</v>
      </c>
      <c r="E104" s="47" t="s">
        <v>365</v>
      </c>
      <c r="F104" s="47" t="s">
        <v>366</v>
      </c>
      <c r="G104" s="47">
        <v>3032.91</v>
      </c>
      <c r="H104" s="58" t="s">
        <v>367</v>
      </c>
      <c r="I104" s="48">
        <v>21719</v>
      </c>
      <c r="J104" s="47">
        <v>986</v>
      </c>
      <c r="K104" s="47" t="s">
        <v>368</v>
      </c>
      <c r="L104" s="47" t="str">
        <f>IF(0.9114*3032.91=0," ",TEXT(,ROUND((0.9114*3032.91*7.27),2)))</f>
        <v>20095,69</v>
      </c>
      <c r="M104" s="47" t="s">
        <v>369</v>
      </c>
      <c r="N104" s="47" t="s">
        <v>370</v>
      </c>
      <c r="O104" s="49"/>
      <c r="P104" s="49"/>
      <c r="Q104" s="49"/>
      <c r="R104" s="49"/>
      <c r="S104" s="49"/>
      <c r="T104" s="50"/>
      <c r="U104" s="50"/>
      <c r="V104" s="50"/>
      <c r="W104" s="50"/>
      <c r="X104" s="50"/>
      <c r="Y104" s="50"/>
      <c r="Z104" s="50"/>
      <c r="AA104" s="50" t="s">
        <v>145</v>
      </c>
      <c r="AB104" s="50" t="s">
        <v>146</v>
      </c>
      <c r="AC104" s="50">
        <v>981</v>
      </c>
      <c r="AD104" s="50">
        <v>469</v>
      </c>
      <c r="AE104" s="50"/>
      <c r="AF104" s="50" t="s">
        <v>371</v>
      </c>
      <c r="AG104" s="50" t="s">
        <v>372</v>
      </c>
      <c r="AH104" s="50"/>
      <c r="AI104" s="50">
        <f>986+80</f>
        <v>1066</v>
      </c>
    </row>
    <row r="105" spans="1:35" ht="132" x14ac:dyDescent="0.25">
      <c r="A105" s="44">
        <v>70</v>
      </c>
      <c r="B105" s="45" t="s">
        <v>373</v>
      </c>
      <c r="C105" s="46" t="str">
        <f t="shared" ref="C105:C125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5" s="44">
        <v>-0.27339999999999998</v>
      </c>
      <c r="E105" s="47">
        <v>10045</v>
      </c>
      <c r="F105" s="47"/>
      <c r="G105" s="47">
        <v>10045</v>
      </c>
      <c r="H105" s="58" t="s">
        <v>374</v>
      </c>
      <c r="I105" s="48">
        <v>-19996</v>
      </c>
      <c r="J105" s="47"/>
      <c r="K105" s="47"/>
      <c r="L105" s="47" t="str">
        <f>IF(-0.2734*10045=0," ",TEXT(,ROUND((-0.2734*10045*7.282),2)))</f>
        <v>-19998,58</v>
      </c>
      <c r="M105" s="47"/>
      <c r="N105" s="47"/>
      <c r="O105" s="49"/>
      <c r="P105" s="49"/>
      <c r="Q105" s="49"/>
      <c r="R105" s="49"/>
      <c r="S105" s="49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 t="s">
        <v>375</v>
      </c>
      <c r="AG105" s="50" t="s">
        <v>158</v>
      </c>
      <c r="AH105" s="50"/>
      <c r="AI105" s="50">
        <f>0+0</f>
        <v>0</v>
      </c>
    </row>
    <row r="106" spans="1:35" ht="66" x14ac:dyDescent="0.25">
      <c r="A106" s="44">
        <v>71</v>
      </c>
      <c r="B106" s="45" t="s">
        <v>376</v>
      </c>
      <c r="C106" s="46" t="str">
        <f t="shared" ca="1" si="3"/>
        <v xml:space="preserve">Ограждение длиной 1860 мм 1800/1,18/5,63=270,95
шт
</v>
      </c>
      <c r="D106" s="44">
        <v>49</v>
      </c>
      <c r="E106" s="47">
        <v>270.95</v>
      </c>
      <c r="F106" s="47"/>
      <c r="G106" s="47">
        <v>270.95</v>
      </c>
      <c r="H106" s="58" t="s">
        <v>179</v>
      </c>
      <c r="I106" s="48">
        <v>74750</v>
      </c>
      <c r="J106" s="47"/>
      <c r="K106" s="47"/>
      <c r="L106" s="47" t="str">
        <f>IF(49*270.95=0," ",TEXT(,ROUND((49*270.95*5.63),2)))</f>
        <v>74746,98</v>
      </c>
      <c r="M106" s="47"/>
      <c r="N106" s="47"/>
      <c r="O106" s="49"/>
      <c r="P106" s="49"/>
      <c r="Q106" s="49"/>
      <c r="R106" s="49"/>
      <c r="S106" s="49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 t="s">
        <v>377</v>
      </c>
      <c r="AG106" s="50" t="s">
        <v>378</v>
      </c>
      <c r="AH106" s="50"/>
      <c r="AI106" s="50">
        <f>0+0</f>
        <v>0</v>
      </c>
    </row>
    <row r="107" spans="1:35" ht="105.6" x14ac:dyDescent="0.25">
      <c r="A107" s="44">
        <v>72</v>
      </c>
      <c r="B107" s="45" t="s">
        <v>363</v>
      </c>
      <c r="C107" s="46" t="str">
        <f t="shared" ca="1" si="3"/>
        <v xml:space="preserve">Снегозадержатели
100 м ограждения
907 руб. НР 92%=120%*(0,85*0,9) от ФОТ (986 руб.)
434 руб.СП 44%=65%*(0,8*0,85) от ФОТ (986 руб.)
</v>
      </c>
      <c r="D107" s="44" t="s">
        <v>379</v>
      </c>
      <c r="E107" s="47" t="s">
        <v>365</v>
      </c>
      <c r="F107" s="47" t="s">
        <v>366</v>
      </c>
      <c r="G107" s="47">
        <v>3032.91</v>
      </c>
      <c r="H107" s="58" t="s">
        <v>367</v>
      </c>
      <c r="I107" s="48">
        <v>20042</v>
      </c>
      <c r="J107" s="47">
        <v>922</v>
      </c>
      <c r="K107" s="47" t="s">
        <v>380</v>
      </c>
      <c r="L107" s="47" t="str">
        <f>IF(0.84*3032.91=0," ",TEXT(,ROUND((0.84*3032.91*7.27),2)))</f>
        <v>18521,37</v>
      </c>
      <c r="M107" s="47" t="s">
        <v>369</v>
      </c>
      <c r="N107" s="47" t="s">
        <v>381</v>
      </c>
      <c r="O107" s="49"/>
      <c r="P107" s="49"/>
      <c r="Q107" s="49"/>
      <c r="R107" s="49"/>
      <c r="S107" s="49"/>
      <c r="T107" s="50"/>
      <c r="U107" s="50"/>
      <c r="V107" s="50"/>
      <c r="W107" s="50"/>
      <c r="X107" s="50"/>
      <c r="Y107" s="50"/>
      <c r="Z107" s="50"/>
      <c r="AA107" s="50" t="s">
        <v>145</v>
      </c>
      <c r="AB107" s="50" t="s">
        <v>146</v>
      </c>
      <c r="AC107" s="50">
        <v>907</v>
      </c>
      <c r="AD107" s="50">
        <v>434</v>
      </c>
      <c r="AE107" s="50"/>
      <c r="AF107" s="50" t="s">
        <v>382</v>
      </c>
      <c r="AG107" s="50" t="s">
        <v>372</v>
      </c>
      <c r="AH107" s="50"/>
      <c r="AI107" s="50">
        <f>922+64</f>
        <v>986</v>
      </c>
    </row>
    <row r="108" spans="1:35" ht="118.8" x14ac:dyDescent="0.25">
      <c r="A108" s="44">
        <v>73</v>
      </c>
      <c r="B108" s="45" t="s">
        <v>373</v>
      </c>
      <c r="C108" s="46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8" s="44">
        <v>-0.252</v>
      </c>
      <c r="E108" s="47">
        <v>10045</v>
      </c>
      <c r="F108" s="47"/>
      <c r="G108" s="47">
        <v>10045</v>
      </c>
      <c r="H108" s="58" t="s">
        <v>374</v>
      </c>
      <c r="I108" s="48">
        <v>-18431</v>
      </c>
      <c r="J108" s="47"/>
      <c r="K108" s="47"/>
      <c r="L108" s="47" t="str">
        <f>IF(-0.252*10045=0," ",TEXT(,ROUND((-0.252*10045*7.282),2)))</f>
        <v>-18433,22</v>
      </c>
      <c r="M108" s="47"/>
      <c r="N108" s="47"/>
      <c r="O108" s="49"/>
      <c r="P108" s="49"/>
      <c r="Q108" s="49"/>
      <c r="R108" s="49"/>
      <c r="S108" s="49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 t="s">
        <v>383</v>
      </c>
      <c r="AG108" s="50" t="s">
        <v>158</v>
      </c>
      <c r="AH108" s="50"/>
      <c r="AI108" s="50">
        <f>0+0</f>
        <v>0</v>
      </c>
    </row>
    <row r="109" spans="1:35" ht="66" x14ac:dyDescent="0.25">
      <c r="A109" s="44">
        <v>74</v>
      </c>
      <c r="B109" s="45" t="s">
        <v>376</v>
      </c>
      <c r="C109" s="46" t="str">
        <f t="shared" ca="1" si="3"/>
        <v xml:space="preserve">Снегозадержатель длиной 3000 мм 1800/1,18/5,63=270,95
шт
</v>
      </c>
      <c r="D109" s="44">
        <v>28</v>
      </c>
      <c r="E109" s="47">
        <v>270.95</v>
      </c>
      <c r="F109" s="47"/>
      <c r="G109" s="47">
        <v>270.95</v>
      </c>
      <c r="H109" s="58" t="s">
        <v>179</v>
      </c>
      <c r="I109" s="48">
        <v>42715</v>
      </c>
      <c r="J109" s="47"/>
      <c r="K109" s="47"/>
      <c r="L109" s="47" t="str">
        <f>IF(28*270.95=0," ",TEXT(,ROUND((28*270.95*5.63),2)))</f>
        <v>42712,56</v>
      </c>
      <c r="M109" s="47"/>
      <c r="N109" s="47"/>
      <c r="O109" s="49"/>
      <c r="P109" s="49"/>
      <c r="Q109" s="49"/>
      <c r="R109" s="49"/>
      <c r="S109" s="49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 t="s">
        <v>384</v>
      </c>
      <c r="AG109" s="50" t="s">
        <v>378</v>
      </c>
      <c r="AH109" s="50"/>
      <c r="AI109" s="50">
        <f>0+0</f>
        <v>0</v>
      </c>
    </row>
    <row r="110" spans="1:35" ht="105.6" x14ac:dyDescent="0.25">
      <c r="A110" s="44">
        <v>75</v>
      </c>
      <c r="B110" s="45" t="s">
        <v>363</v>
      </c>
      <c r="C110" s="46" t="str">
        <f t="shared" ca="1" si="3"/>
        <v xml:space="preserve">Страховочный трос
100 м ограждения
235 руб. НР 92%=120%*(0,85*0,9) от ФОТ (255 руб.)
112 руб.СП 44%=65%*(0,8*0,85) от ФОТ (255 руб.)
</v>
      </c>
      <c r="D110" s="44">
        <v>0.22</v>
      </c>
      <c r="E110" s="47" t="s">
        <v>365</v>
      </c>
      <c r="F110" s="47" t="s">
        <v>366</v>
      </c>
      <c r="G110" s="47">
        <v>3032.91</v>
      </c>
      <c r="H110" s="58" t="s">
        <v>367</v>
      </c>
      <c r="I110" s="48">
        <v>5240</v>
      </c>
      <c r="J110" s="47">
        <v>239</v>
      </c>
      <c r="K110" s="47" t="s">
        <v>185</v>
      </c>
      <c r="L110" s="47" t="str">
        <f>IF(0.22*3032.91=0," ",TEXT(,ROUND((0.22*3032.91*7.27),2)))</f>
        <v>4850,84</v>
      </c>
      <c r="M110" s="47" t="s">
        <v>369</v>
      </c>
      <c r="N110" s="47" t="s">
        <v>385</v>
      </c>
      <c r="O110" s="49"/>
      <c r="P110" s="49"/>
      <c r="Q110" s="49"/>
      <c r="R110" s="49"/>
      <c r="S110" s="49"/>
      <c r="T110" s="50"/>
      <c r="U110" s="50"/>
      <c r="V110" s="50"/>
      <c r="W110" s="50"/>
      <c r="X110" s="50"/>
      <c r="Y110" s="50"/>
      <c r="Z110" s="50"/>
      <c r="AA110" s="50" t="s">
        <v>145</v>
      </c>
      <c r="AB110" s="50" t="s">
        <v>146</v>
      </c>
      <c r="AC110" s="50">
        <v>235</v>
      </c>
      <c r="AD110" s="50">
        <v>112</v>
      </c>
      <c r="AE110" s="50"/>
      <c r="AF110" s="50" t="s">
        <v>386</v>
      </c>
      <c r="AG110" s="50" t="s">
        <v>372</v>
      </c>
      <c r="AH110" s="50"/>
      <c r="AI110" s="50">
        <f>239+16</f>
        <v>255</v>
      </c>
    </row>
    <row r="111" spans="1:35" ht="118.8" x14ac:dyDescent="0.25">
      <c r="A111" s="44">
        <v>76</v>
      </c>
      <c r="B111" s="45" t="s">
        <v>373</v>
      </c>
      <c r="C111" s="46" t="str">
        <f t="shared" ca="1" si="3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11" s="44">
        <v>-6.6000000000000003E-2</v>
      </c>
      <c r="E111" s="47">
        <v>10045</v>
      </c>
      <c r="F111" s="47"/>
      <c r="G111" s="47">
        <v>10045</v>
      </c>
      <c r="H111" s="58" t="s">
        <v>374</v>
      </c>
      <c r="I111" s="48">
        <v>-4828</v>
      </c>
      <c r="J111" s="47"/>
      <c r="K111" s="47"/>
      <c r="L111" s="47" t="str">
        <f>IF(-0.066*10045=0," ",TEXT(,ROUND((-0.066*10045*7.282),2)))</f>
        <v>-4827,75</v>
      </c>
      <c r="M111" s="47"/>
      <c r="N111" s="47"/>
      <c r="O111" s="49"/>
      <c r="P111" s="49"/>
      <c r="Q111" s="49"/>
      <c r="R111" s="49"/>
      <c r="S111" s="49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 t="s">
        <v>387</v>
      </c>
      <c r="AG111" s="50" t="s">
        <v>158</v>
      </c>
      <c r="AH111" s="50"/>
      <c r="AI111" s="50">
        <f>0+0</f>
        <v>0</v>
      </c>
    </row>
    <row r="112" spans="1:35" ht="52.8" x14ac:dyDescent="0.25">
      <c r="A112" s="44">
        <v>77</v>
      </c>
      <c r="B112" s="45" t="s">
        <v>388</v>
      </c>
      <c r="C112" s="46" t="str">
        <f t="shared" ca="1" si="3"/>
        <v xml:space="preserve">Трос стальной
м
</v>
      </c>
      <c r="D112" s="44">
        <v>22</v>
      </c>
      <c r="E112" s="47">
        <v>12.03</v>
      </c>
      <c r="F112" s="47"/>
      <c r="G112" s="47">
        <v>12.03</v>
      </c>
      <c r="H112" s="58" t="s">
        <v>389</v>
      </c>
      <c r="I112" s="48">
        <v>1833</v>
      </c>
      <c r="J112" s="47"/>
      <c r="K112" s="47"/>
      <c r="L112" s="47" t="str">
        <f>IF(22*12.03=0," ",TEXT(,ROUND((22*12.03*6.918),2)))</f>
        <v>1830,92</v>
      </c>
      <c r="M112" s="47"/>
      <c r="N112" s="47"/>
      <c r="O112" s="49"/>
      <c r="P112" s="49"/>
      <c r="Q112" s="49"/>
      <c r="R112" s="49"/>
      <c r="S112" s="49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 t="s">
        <v>390</v>
      </c>
      <c r="AG112" s="50" t="s">
        <v>391</v>
      </c>
      <c r="AH112" s="50"/>
      <c r="AI112" s="50">
        <f>0+0</f>
        <v>0</v>
      </c>
    </row>
    <row r="113" spans="1:35" ht="92.4" x14ac:dyDescent="0.25">
      <c r="A113" s="44">
        <v>78</v>
      </c>
      <c r="B113" s="45" t="s">
        <v>392</v>
      </c>
      <c r="C113" s="46" t="str">
        <f t="shared" ca="1" si="3"/>
        <v xml:space="preserve">Анкерные детали из прямых или гнутых круглых стержней с резьбой (в комплекте с шайбами и гайками или без них): поставляемые отдельно
т
</v>
      </c>
      <c r="D113" s="44" t="s">
        <v>393</v>
      </c>
      <c r="E113" s="47">
        <v>10100</v>
      </c>
      <c r="F113" s="47"/>
      <c r="G113" s="47">
        <v>10100</v>
      </c>
      <c r="H113" s="58" t="s">
        <v>394</v>
      </c>
      <c r="I113" s="48">
        <v>253</v>
      </c>
      <c r="J113" s="47"/>
      <c r="K113" s="47"/>
      <c r="L113" s="47" t="str">
        <f>IF(0.00576*10100=0," ",TEXT(,ROUND((0.00576*10100*4.356),2)))</f>
        <v>253,41</v>
      </c>
      <c r="M113" s="47"/>
      <c r="N113" s="47"/>
      <c r="O113" s="49"/>
      <c r="P113" s="49"/>
      <c r="Q113" s="49"/>
      <c r="R113" s="49"/>
      <c r="S113" s="49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 t="s">
        <v>395</v>
      </c>
      <c r="AG113" s="50" t="s">
        <v>158</v>
      </c>
      <c r="AH113" s="50"/>
      <c r="AI113" s="50">
        <f>0+0</f>
        <v>0</v>
      </c>
    </row>
    <row r="114" spans="1:35" ht="118.8" x14ac:dyDescent="0.25">
      <c r="A114" s="44">
        <v>79</v>
      </c>
      <c r="B114" s="45" t="s">
        <v>363</v>
      </c>
      <c r="C114" s="46" t="str">
        <f t="shared" ca="1" si="3"/>
        <v xml:space="preserve">Устройство переходных лестниц  на кровле
100 м ограждения
161 руб. НР 92%=120%*(0,85*0,9) от ФОТ (175 руб.)
77 руб.СП 44%=65%*(0,8*0,85) от ФОТ (175 руб.)
</v>
      </c>
      <c r="D114" s="44">
        <v>0.15</v>
      </c>
      <c r="E114" s="47" t="s">
        <v>365</v>
      </c>
      <c r="F114" s="47" t="s">
        <v>366</v>
      </c>
      <c r="G114" s="47">
        <v>3032.91</v>
      </c>
      <c r="H114" s="58" t="s">
        <v>367</v>
      </c>
      <c r="I114" s="48">
        <v>3568</v>
      </c>
      <c r="J114" s="47">
        <v>159</v>
      </c>
      <c r="K114" s="47" t="s">
        <v>396</v>
      </c>
      <c r="L114" s="47" t="str">
        <f>IF(0.15*3032.91=0," ",TEXT(,ROUND((0.15*3032.91*7.27),2)))</f>
        <v>3307,39</v>
      </c>
      <c r="M114" s="47" t="s">
        <v>369</v>
      </c>
      <c r="N114" s="47" t="s">
        <v>397</v>
      </c>
      <c r="O114" s="49"/>
      <c r="P114" s="49"/>
      <c r="Q114" s="49"/>
      <c r="R114" s="49"/>
      <c r="S114" s="49"/>
      <c r="T114" s="50"/>
      <c r="U114" s="50"/>
      <c r="V114" s="50"/>
      <c r="W114" s="50"/>
      <c r="X114" s="50"/>
      <c r="Y114" s="50"/>
      <c r="Z114" s="50"/>
      <c r="AA114" s="50" t="s">
        <v>145</v>
      </c>
      <c r="AB114" s="50" t="s">
        <v>146</v>
      </c>
      <c r="AC114" s="50">
        <v>161</v>
      </c>
      <c r="AD114" s="50">
        <v>77</v>
      </c>
      <c r="AE114" s="50"/>
      <c r="AF114" s="50" t="s">
        <v>398</v>
      </c>
      <c r="AG114" s="50" t="s">
        <v>372</v>
      </c>
      <c r="AH114" s="50"/>
      <c r="AI114" s="50">
        <f>159+16</f>
        <v>175</v>
      </c>
    </row>
    <row r="115" spans="1:35" ht="118.8" x14ac:dyDescent="0.25">
      <c r="A115" s="44">
        <v>80</v>
      </c>
      <c r="B115" s="45" t="s">
        <v>373</v>
      </c>
      <c r="C115" s="46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5" s="44">
        <v>-4.4999999999999998E-2</v>
      </c>
      <c r="E115" s="47">
        <v>10045</v>
      </c>
      <c r="F115" s="47"/>
      <c r="G115" s="47">
        <v>10045</v>
      </c>
      <c r="H115" s="58" t="s">
        <v>374</v>
      </c>
      <c r="I115" s="48">
        <v>-3291</v>
      </c>
      <c r="J115" s="47"/>
      <c r="K115" s="47"/>
      <c r="L115" s="47" t="str">
        <f>IF(-0.045*10045=0," ",TEXT(,ROUND((-0.045*10045*7.282),2)))</f>
        <v>-3291,65</v>
      </c>
      <c r="M115" s="47"/>
      <c r="N115" s="47"/>
      <c r="O115" s="49"/>
      <c r="P115" s="49"/>
      <c r="Q115" s="49"/>
      <c r="R115" s="49"/>
      <c r="S115" s="49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 t="s">
        <v>383</v>
      </c>
      <c r="AG115" s="50" t="s">
        <v>158</v>
      </c>
      <c r="AH115" s="50"/>
      <c r="AI115" s="50">
        <f>0+0</f>
        <v>0</v>
      </c>
    </row>
    <row r="116" spans="1:35" ht="66" x14ac:dyDescent="0.25">
      <c r="A116" s="44">
        <v>81</v>
      </c>
      <c r="B116" s="45" t="s">
        <v>399</v>
      </c>
      <c r="C116" s="46" t="str">
        <f t="shared" ca="1" si="3"/>
        <v xml:space="preserve">Лестница кровельная длиной 5 м (2700+1800)/1,18/5,63=677,36
шт
</v>
      </c>
      <c r="D116" s="44">
        <v>3</v>
      </c>
      <c r="E116" s="47">
        <v>677.36</v>
      </c>
      <c r="F116" s="47"/>
      <c r="G116" s="47">
        <v>677.36</v>
      </c>
      <c r="H116" s="58" t="s">
        <v>179</v>
      </c>
      <c r="I116" s="48">
        <v>11440</v>
      </c>
      <c r="J116" s="47"/>
      <c r="K116" s="47"/>
      <c r="L116" s="47" t="str">
        <f>IF(3*677.36=0," ",TEXT(,ROUND((3*677.36*5.63),2)))</f>
        <v>11440,61</v>
      </c>
      <c r="M116" s="47"/>
      <c r="N116" s="47"/>
      <c r="O116" s="49"/>
      <c r="P116" s="49"/>
      <c r="Q116" s="49"/>
      <c r="R116" s="49"/>
      <c r="S116" s="49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 t="s">
        <v>400</v>
      </c>
      <c r="AG116" s="50" t="s">
        <v>378</v>
      </c>
      <c r="AH116" s="50"/>
      <c r="AI116" s="50">
        <f>0+0</f>
        <v>0</v>
      </c>
    </row>
    <row r="117" spans="1:35" ht="118.8" x14ac:dyDescent="0.25">
      <c r="A117" s="44">
        <v>82</v>
      </c>
      <c r="B117" s="45" t="s">
        <v>363</v>
      </c>
      <c r="C117" s="46" t="str">
        <f t="shared" ca="1" si="3"/>
        <v xml:space="preserve">Устройство переходных мостиков  на кровле
100 м ограждения
29 руб. НР 92%=120%*(0,85*0,9) от ФОТ (32 руб.)
14 руб.СП 44%=65%*(0,8*0,85) от ФОТ (32 руб.)
</v>
      </c>
      <c r="D117" s="44" t="s">
        <v>401</v>
      </c>
      <c r="E117" s="47" t="s">
        <v>365</v>
      </c>
      <c r="F117" s="47" t="s">
        <v>366</v>
      </c>
      <c r="G117" s="47">
        <v>3032.91</v>
      </c>
      <c r="H117" s="58" t="s">
        <v>367</v>
      </c>
      <c r="I117" s="48">
        <v>891</v>
      </c>
      <c r="J117" s="47">
        <v>32</v>
      </c>
      <c r="K117" s="47">
        <v>30</v>
      </c>
      <c r="L117" s="47" t="str">
        <f>IF(0.0375*3032.91=0," ",TEXT(,ROUND((0.0375*3032.91*7.27),2)))</f>
        <v>826,85</v>
      </c>
      <c r="M117" s="47" t="s">
        <v>369</v>
      </c>
      <c r="N117" s="47" t="s">
        <v>402</v>
      </c>
      <c r="O117" s="49"/>
      <c r="P117" s="49"/>
      <c r="Q117" s="49"/>
      <c r="R117" s="49"/>
      <c r="S117" s="49"/>
      <c r="T117" s="50"/>
      <c r="U117" s="50"/>
      <c r="V117" s="50"/>
      <c r="W117" s="50"/>
      <c r="X117" s="50"/>
      <c r="Y117" s="50"/>
      <c r="Z117" s="50"/>
      <c r="AA117" s="50" t="s">
        <v>145</v>
      </c>
      <c r="AB117" s="50" t="s">
        <v>146</v>
      </c>
      <c r="AC117" s="50">
        <v>29</v>
      </c>
      <c r="AD117" s="50">
        <v>14</v>
      </c>
      <c r="AE117" s="50"/>
      <c r="AF117" s="50" t="s">
        <v>403</v>
      </c>
      <c r="AG117" s="50" t="s">
        <v>372</v>
      </c>
      <c r="AH117" s="50"/>
      <c r="AI117" s="50">
        <f>32+0</f>
        <v>32</v>
      </c>
    </row>
    <row r="118" spans="1:35" ht="118.8" x14ac:dyDescent="0.25">
      <c r="A118" s="44">
        <v>83</v>
      </c>
      <c r="B118" s="45" t="s">
        <v>373</v>
      </c>
      <c r="C118" s="46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8" s="44">
        <v>-1.1299999999999999E-2</v>
      </c>
      <c r="E118" s="47">
        <v>10045</v>
      </c>
      <c r="F118" s="47"/>
      <c r="G118" s="47">
        <v>10045</v>
      </c>
      <c r="H118" s="58" t="s">
        <v>374</v>
      </c>
      <c r="I118" s="48">
        <v>-830</v>
      </c>
      <c r="J118" s="47"/>
      <c r="K118" s="47"/>
      <c r="L118" s="47" t="str">
        <f>IF(-0.0113*10045=0," ",TEXT(,ROUND((-0.0113*10045*7.282),2)))</f>
        <v>-826,57</v>
      </c>
      <c r="M118" s="47"/>
      <c r="N118" s="47"/>
      <c r="O118" s="49"/>
      <c r="P118" s="49"/>
      <c r="Q118" s="49"/>
      <c r="R118" s="49"/>
      <c r="S118" s="49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 t="s">
        <v>383</v>
      </c>
      <c r="AG118" s="50" t="s">
        <v>158</v>
      </c>
      <c r="AH118" s="50"/>
      <c r="AI118" s="50">
        <f>0+0</f>
        <v>0</v>
      </c>
    </row>
    <row r="119" spans="1:35" ht="66" x14ac:dyDescent="0.25">
      <c r="A119" s="44">
        <v>84</v>
      </c>
      <c r="B119" s="45" t="s">
        <v>404</v>
      </c>
      <c r="C119" s="46" t="str">
        <f t="shared" ca="1" si="3"/>
        <v xml:space="preserve">Переходный мостик 1250 мм 2250/1,18/5,63=338,68
шт
</v>
      </c>
      <c r="D119" s="44">
        <v>3</v>
      </c>
      <c r="E119" s="47">
        <v>338.68</v>
      </c>
      <c r="F119" s="47"/>
      <c r="G119" s="47">
        <v>338.68</v>
      </c>
      <c r="H119" s="58" t="s">
        <v>179</v>
      </c>
      <c r="I119" s="48">
        <v>5720</v>
      </c>
      <c r="J119" s="47"/>
      <c r="K119" s="47"/>
      <c r="L119" s="47" t="str">
        <f>IF(3*338.68=0," ",TEXT(,ROUND((3*338.68*5.63),2)))</f>
        <v>5720,31</v>
      </c>
      <c r="M119" s="47"/>
      <c r="N119" s="47"/>
      <c r="O119" s="49"/>
      <c r="P119" s="49"/>
      <c r="Q119" s="49"/>
      <c r="R119" s="49"/>
      <c r="S119" s="49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 t="s">
        <v>405</v>
      </c>
      <c r="AG119" s="50" t="s">
        <v>378</v>
      </c>
      <c r="AH119" s="50"/>
      <c r="AI119" s="50">
        <f>0+0</f>
        <v>0</v>
      </c>
    </row>
    <row r="120" spans="1:35" ht="118.8" x14ac:dyDescent="0.25">
      <c r="A120" s="44">
        <v>85</v>
      </c>
      <c r="B120" s="45" t="s">
        <v>406</v>
      </c>
      <c r="C120" s="46" t="str">
        <f t="shared" ca="1" si="3"/>
        <v xml:space="preserve">Перенавеска водосточных труб: с земли, лестниц или подмостей
100 м труб
3003 руб. НР 71%=83%*0,85 от ФОТ (4229 руб.)
2199 руб.СП 52%=65%*0,8 от ФОТ (4229 руб.)
</v>
      </c>
      <c r="D120" s="44">
        <v>0.51</v>
      </c>
      <c r="E120" s="47" t="s">
        <v>407</v>
      </c>
      <c r="F120" s="47"/>
      <c r="G120" s="47">
        <v>8.02</v>
      </c>
      <c r="H120" s="58" t="s">
        <v>408</v>
      </c>
      <c r="I120" s="48">
        <v>4246</v>
      </c>
      <c r="J120" s="47">
        <v>4229</v>
      </c>
      <c r="K120" s="47"/>
      <c r="L120" s="47" t="str">
        <f>IF(0.51*8.02=0," ",TEXT(,ROUND((0.51*8.02*4.22),2)))</f>
        <v>17,26</v>
      </c>
      <c r="M120" s="47">
        <v>60.4</v>
      </c>
      <c r="N120" s="47">
        <v>30.8</v>
      </c>
      <c r="O120" s="49"/>
      <c r="P120" s="49"/>
      <c r="Q120" s="49"/>
      <c r="R120" s="49"/>
      <c r="S120" s="49"/>
      <c r="T120" s="50"/>
      <c r="U120" s="50"/>
      <c r="V120" s="50"/>
      <c r="W120" s="50"/>
      <c r="X120" s="50"/>
      <c r="Y120" s="50"/>
      <c r="Z120" s="50"/>
      <c r="AA120" s="50" t="s">
        <v>38</v>
      </c>
      <c r="AB120" s="50" t="s">
        <v>39</v>
      </c>
      <c r="AC120" s="50">
        <v>3003</v>
      </c>
      <c r="AD120" s="50">
        <v>2199</v>
      </c>
      <c r="AE120" s="50"/>
      <c r="AF120" s="50" t="s">
        <v>409</v>
      </c>
      <c r="AG120" s="50" t="s">
        <v>410</v>
      </c>
      <c r="AH120" s="50"/>
      <c r="AI120" s="50">
        <f>4229+0</f>
        <v>4229</v>
      </c>
    </row>
    <row r="121" spans="1:35" ht="79.2" x14ac:dyDescent="0.25">
      <c r="A121" s="44">
        <v>86</v>
      </c>
      <c r="B121" s="45" t="s">
        <v>411</v>
      </c>
      <c r="C121" s="46" t="str">
        <f t="shared" ca="1" si="3"/>
        <v xml:space="preserve">Звенья водосточных труб из оцинкованной стали толщиной 0,55 мм, диаметром 140 мм, марка ТВ-140
м
</v>
      </c>
      <c r="D121" s="44">
        <v>51</v>
      </c>
      <c r="E121" s="47">
        <v>56.5</v>
      </c>
      <c r="F121" s="47"/>
      <c r="G121" s="47">
        <v>56.5</v>
      </c>
      <c r="H121" s="58" t="s">
        <v>412</v>
      </c>
      <c r="I121" s="48">
        <v>7646</v>
      </c>
      <c r="J121" s="47"/>
      <c r="K121" s="47"/>
      <c r="L121" s="47" t="str">
        <f>IF(51*56.5=0," ",TEXT(,ROUND((51*56.5*2.653),2)))</f>
        <v>7644,62</v>
      </c>
      <c r="M121" s="47"/>
      <c r="N121" s="47"/>
      <c r="O121" s="49"/>
      <c r="P121" s="49"/>
      <c r="Q121" s="49"/>
      <c r="R121" s="49"/>
      <c r="S121" s="49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 t="s">
        <v>413</v>
      </c>
      <c r="AG121" s="50" t="s">
        <v>391</v>
      </c>
      <c r="AH121" s="50"/>
      <c r="AI121" s="50">
        <f>0+0</f>
        <v>0</v>
      </c>
    </row>
    <row r="122" spans="1:35" ht="66" x14ac:dyDescent="0.25">
      <c r="A122" s="44">
        <v>87</v>
      </c>
      <c r="B122" s="45" t="s">
        <v>414</v>
      </c>
      <c r="C122" s="46" t="str">
        <f t="shared" ca="1" si="3"/>
        <v xml:space="preserve">Воронка водосточная из оцинкованной стали толщиной 0,55 диаметром 215 мм
шт.
</v>
      </c>
      <c r="D122" s="44">
        <v>6</v>
      </c>
      <c r="E122" s="47">
        <v>67.8</v>
      </c>
      <c r="F122" s="47"/>
      <c r="G122" s="47">
        <v>67.8</v>
      </c>
      <c r="H122" s="58" t="s">
        <v>415</v>
      </c>
      <c r="I122" s="48">
        <v>3358</v>
      </c>
      <c r="J122" s="47"/>
      <c r="K122" s="47"/>
      <c r="L122" s="47" t="str">
        <f>IF(6*67.8=0," ",TEXT(,ROUND((6*67.8*8.251),2)))</f>
        <v>3356,51</v>
      </c>
      <c r="M122" s="47"/>
      <c r="N122" s="47"/>
      <c r="O122" s="49"/>
      <c r="P122" s="49"/>
      <c r="Q122" s="49"/>
      <c r="R122" s="49"/>
      <c r="S122" s="49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 t="s">
        <v>416</v>
      </c>
      <c r="AG122" s="50" t="s">
        <v>227</v>
      </c>
      <c r="AH122" s="50"/>
      <c r="AI122" s="50">
        <f>0+0</f>
        <v>0</v>
      </c>
    </row>
    <row r="123" spans="1:35" ht="66" x14ac:dyDescent="0.25">
      <c r="A123" s="44">
        <v>88</v>
      </c>
      <c r="B123" s="45" t="s">
        <v>417</v>
      </c>
      <c r="C123" s="46" t="str">
        <f t="shared" ca="1" si="3"/>
        <v xml:space="preserve">Колено из оцинкованной стали толщиной 0,55 мм, диаметром 140 мм, марка ТВ-140
шт.
</v>
      </c>
      <c r="D123" s="44">
        <v>12</v>
      </c>
      <c r="E123" s="47">
        <v>34.799999999999997</v>
      </c>
      <c r="F123" s="47"/>
      <c r="G123" s="47">
        <v>34.799999999999997</v>
      </c>
      <c r="H123" s="58" t="s">
        <v>418</v>
      </c>
      <c r="I123" s="48">
        <v>1677</v>
      </c>
      <c r="J123" s="47"/>
      <c r="K123" s="47"/>
      <c r="L123" s="47" t="str">
        <f>IF(12*34.8=0," ",TEXT(,ROUND((12*34.8*4.013),2)))</f>
        <v>1675,83</v>
      </c>
      <c r="M123" s="47"/>
      <c r="N123" s="47"/>
      <c r="O123" s="49"/>
      <c r="P123" s="49"/>
      <c r="Q123" s="49"/>
      <c r="R123" s="49"/>
      <c r="S123" s="49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 t="s">
        <v>419</v>
      </c>
      <c r="AG123" s="50" t="s">
        <v>227</v>
      </c>
      <c r="AH123" s="50"/>
      <c r="AI123" s="50">
        <f>0+0</f>
        <v>0</v>
      </c>
    </row>
    <row r="124" spans="1:35" ht="66" x14ac:dyDescent="0.25">
      <c r="A124" s="44">
        <v>89</v>
      </c>
      <c r="B124" s="45" t="s">
        <v>420</v>
      </c>
      <c r="C124" s="46" t="str">
        <f t="shared" ca="1" si="3"/>
        <v xml:space="preserve">Отливы (отметы) из оцинкованной стали толщиной 0,55 мм диаметром 140 мм
шт.
</v>
      </c>
      <c r="D124" s="44">
        <v>6</v>
      </c>
      <c r="E124" s="47">
        <v>35.9</v>
      </c>
      <c r="F124" s="47"/>
      <c r="G124" s="47">
        <v>35.9</v>
      </c>
      <c r="H124" s="58" t="s">
        <v>421</v>
      </c>
      <c r="I124" s="48">
        <v>839</v>
      </c>
      <c r="J124" s="47"/>
      <c r="K124" s="47"/>
      <c r="L124" s="47" t="str">
        <f>IF(6*35.9=0," ",TEXT(,ROUND((6*35.9*3.901),2)))</f>
        <v>840,28</v>
      </c>
      <c r="M124" s="47"/>
      <c r="N124" s="47"/>
      <c r="O124" s="49"/>
      <c r="P124" s="49"/>
      <c r="Q124" s="49"/>
      <c r="R124" s="49"/>
      <c r="S124" s="49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 t="s">
        <v>422</v>
      </c>
      <c r="AG124" s="50" t="s">
        <v>227</v>
      </c>
      <c r="AH124" s="50"/>
      <c r="AI124" s="50">
        <f>0+0</f>
        <v>0</v>
      </c>
    </row>
    <row r="125" spans="1:35" ht="66" x14ac:dyDescent="0.25">
      <c r="A125" s="52">
        <v>90</v>
      </c>
      <c r="B125" s="53" t="s">
        <v>423</v>
      </c>
      <c r="C125" s="54" t="str">
        <f t="shared" ca="1" si="3"/>
        <v xml:space="preserve">Поковки из квадратных заготовок, масса 1,8 кг хомуты
т
</v>
      </c>
      <c r="D125" s="52" t="s">
        <v>424</v>
      </c>
      <c r="E125" s="55">
        <v>5989</v>
      </c>
      <c r="F125" s="55"/>
      <c r="G125" s="55">
        <v>5989</v>
      </c>
      <c r="H125" s="56" t="s">
        <v>425</v>
      </c>
      <c r="I125" s="57">
        <v>1701</v>
      </c>
      <c r="J125" s="55"/>
      <c r="K125" s="55"/>
      <c r="L125" s="55" t="str">
        <f>IF(0.03888*5989=0," ",TEXT(,ROUND((0.03888*5989*7.299),2)))</f>
        <v>1699,59</v>
      </c>
      <c r="M125" s="55"/>
      <c r="N125" s="55"/>
      <c r="O125" s="49"/>
      <c r="P125" s="49"/>
      <c r="Q125" s="49"/>
      <c r="R125" s="49"/>
      <c r="S125" s="49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 t="s">
        <v>426</v>
      </c>
      <c r="AG125" s="50" t="s">
        <v>158</v>
      </c>
      <c r="AH125" s="50"/>
      <c r="AI125" s="50">
        <f>0+0</f>
        <v>0</v>
      </c>
    </row>
    <row r="126" spans="1:35" ht="26.4" x14ac:dyDescent="0.25">
      <c r="A126" s="69" t="s">
        <v>106</v>
      </c>
      <c r="B126" s="64"/>
      <c r="C126" s="64"/>
      <c r="D126" s="64"/>
      <c r="E126" s="64"/>
      <c r="F126" s="64"/>
      <c r="G126" s="64"/>
      <c r="H126" s="64"/>
      <c r="I126" s="48">
        <v>200626</v>
      </c>
      <c r="J126" s="47">
        <v>11046</v>
      </c>
      <c r="K126" s="47" t="s">
        <v>427</v>
      </c>
      <c r="L126" s="47">
        <v>185798</v>
      </c>
      <c r="M126" s="47"/>
      <c r="N126" s="47" t="s">
        <v>428</v>
      </c>
      <c r="O126" s="17"/>
      <c r="P126" s="18"/>
      <c r="Q126" s="17"/>
      <c r="R126" s="17"/>
      <c r="S126" s="17"/>
    </row>
    <row r="127" spans="1:35" ht="26.4" x14ac:dyDescent="0.25">
      <c r="A127" s="69" t="s">
        <v>230</v>
      </c>
      <c r="B127" s="64"/>
      <c r="C127" s="64"/>
      <c r="D127" s="64"/>
      <c r="E127" s="64"/>
      <c r="F127" s="64"/>
      <c r="G127" s="64"/>
      <c r="H127" s="64"/>
      <c r="I127" s="48">
        <v>202968</v>
      </c>
      <c r="J127" s="47">
        <v>12487</v>
      </c>
      <c r="K127" s="47" t="s">
        <v>429</v>
      </c>
      <c r="L127" s="47">
        <v>185798</v>
      </c>
      <c r="M127" s="47"/>
      <c r="N127" s="47" t="s">
        <v>430</v>
      </c>
      <c r="O127" s="17"/>
      <c r="P127" s="18"/>
      <c r="Q127" s="17"/>
      <c r="R127" s="17"/>
      <c r="S127" s="17"/>
    </row>
    <row r="128" spans="1:35" x14ac:dyDescent="0.25">
      <c r="A128" s="69" t="s">
        <v>233</v>
      </c>
      <c r="B128" s="64"/>
      <c r="C128" s="64"/>
      <c r="D128" s="64"/>
      <c r="E128" s="64"/>
      <c r="F128" s="64"/>
      <c r="G128" s="64"/>
      <c r="H128" s="64"/>
      <c r="I128" s="48"/>
      <c r="J128" s="47"/>
      <c r="K128" s="47"/>
      <c r="L128" s="47"/>
      <c r="M128" s="47"/>
      <c r="N128" s="47"/>
      <c r="O128" s="17"/>
      <c r="P128" s="18"/>
      <c r="Q128" s="17"/>
      <c r="R128" s="17"/>
      <c r="S128" s="17"/>
    </row>
    <row r="129" spans="1:35" ht="27.9" customHeight="1" x14ac:dyDescent="0.25">
      <c r="A129" s="69" t="s">
        <v>431</v>
      </c>
      <c r="B129" s="64"/>
      <c r="C129" s="64"/>
      <c r="D129" s="64"/>
      <c r="E129" s="64"/>
      <c r="F129" s="64"/>
      <c r="G129" s="64"/>
      <c r="H129" s="64"/>
      <c r="I129" s="48">
        <v>2342</v>
      </c>
      <c r="J129" s="47">
        <v>1439</v>
      </c>
      <c r="K129" s="47" t="s">
        <v>432</v>
      </c>
      <c r="L129" s="47"/>
      <c r="M129" s="47"/>
      <c r="N129" s="47" t="s">
        <v>433</v>
      </c>
      <c r="O129" s="17"/>
      <c r="P129" s="18"/>
      <c r="Q129" s="17"/>
      <c r="R129" s="17"/>
      <c r="S129" s="17"/>
    </row>
    <row r="130" spans="1:35" ht="26.4" x14ac:dyDescent="0.25">
      <c r="A130" s="69" t="s">
        <v>109</v>
      </c>
      <c r="B130" s="64"/>
      <c r="C130" s="64"/>
      <c r="D130" s="64"/>
      <c r="E130" s="64"/>
      <c r="F130" s="64"/>
      <c r="G130" s="64"/>
      <c r="H130" s="64"/>
      <c r="I130" s="48">
        <v>1105487</v>
      </c>
      <c r="J130" s="47">
        <v>198542</v>
      </c>
      <c r="K130" s="47" t="s">
        <v>434</v>
      </c>
      <c r="L130" s="47">
        <v>854902</v>
      </c>
      <c r="M130" s="47"/>
      <c r="N130" s="47" t="s">
        <v>430</v>
      </c>
      <c r="O130" s="17"/>
      <c r="P130" s="18"/>
      <c r="Q130" s="17"/>
      <c r="R130" s="17"/>
      <c r="S130" s="17"/>
    </row>
    <row r="131" spans="1:35" x14ac:dyDescent="0.25">
      <c r="A131" s="69" t="s">
        <v>111</v>
      </c>
      <c r="B131" s="64"/>
      <c r="C131" s="64"/>
      <c r="D131" s="64"/>
      <c r="E131" s="64"/>
      <c r="F131" s="64"/>
      <c r="G131" s="64"/>
      <c r="H131" s="64"/>
      <c r="I131" s="48">
        <v>173247</v>
      </c>
      <c r="J131" s="47"/>
      <c r="K131" s="47"/>
      <c r="L131" s="47"/>
      <c r="M131" s="47"/>
      <c r="N131" s="47"/>
      <c r="O131" s="17"/>
      <c r="P131" s="18"/>
      <c r="Q131" s="17"/>
      <c r="R131" s="17"/>
      <c r="S131" s="17"/>
    </row>
    <row r="132" spans="1:35" x14ac:dyDescent="0.25">
      <c r="A132" s="69" t="s">
        <v>112</v>
      </c>
      <c r="B132" s="64"/>
      <c r="C132" s="64"/>
      <c r="D132" s="64"/>
      <c r="E132" s="64"/>
      <c r="F132" s="64"/>
      <c r="G132" s="64"/>
      <c r="H132" s="64"/>
      <c r="I132" s="48">
        <v>92001</v>
      </c>
      <c r="J132" s="47"/>
      <c r="K132" s="47"/>
      <c r="L132" s="47"/>
      <c r="M132" s="47"/>
      <c r="N132" s="47"/>
      <c r="O132" s="17"/>
      <c r="P132" s="18"/>
      <c r="Q132" s="17"/>
      <c r="R132" s="17"/>
      <c r="S132" s="17"/>
    </row>
    <row r="133" spans="1:35" ht="26.4" x14ac:dyDescent="0.25">
      <c r="A133" s="67" t="s">
        <v>435</v>
      </c>
      <c r="B133" s="68"/>
      <c r="C133" s="68"/>
      <c r="D133" s="68"/>
      <c r="E133" s="68"/>
      <c r="F133" s="68"/>
      <c r="G133" s="68"/>
      <c r="H133" s="68"/>
      <c r="I133" s="59">
        <v>1370735</v>
      </c>
      <c r="J133" s="60"/>
      <c r="K133" s="60"/>
      <c r="L133" s="60"/>
      <c r="M133" s="60"/>
      <c r="N133" s="60" t="s">
        <v>430</v>
      </c>
      <c r="O133" s="17"/>
      <c r="P133" s="18"/>
      <c r="Q133" s="17"/>
      <c r="R133" s="17"/>
      <c r="S133" s="17"/>
    </row>
    <row r="134" spans="1:35" ht="21" customHeight="1" x14ac:dyDescent="0.25">
      <c r="A134" s="70" t="s">
        <v>436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ht="105.6" x14ac:dyDescent="0.25">
      <c r="A135" s="44">
        <v>91</v>
      </c>
      <c r="B135" s="45" t="s">
        <v>437</v>
      </c>
      <c r="C135" s="46" t="str">
        <f t="shared" ref="C135:C153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1834 руб. НР 93%=122%*(0,85*0,9) от ФОТ (1972 руб.)
1065 руб.СП 54%=80%*(0,8*0,85) от ФОТ (1972 руб.)
</v>
      </c>
      <c r="D135" s="44">
        <v>1.69</v>
      </c>
      <c r="E135" s="47" t="s">
        <v>438</v>
      </c>
      <c r="F135" s="47" t="s">
        <v>439</v>
      </c>
      <c r="G135" s="47">
        <v>823.32</v>
      </c>
      <c r="H135" s="58" t="s">
        <v>118</v>
      </c>
      <c r="I135" s="48">
        <v>9117</v>
      </c>
      <c r="J135" s="47">
        <v>1813</v>
      </c>
      <c r="K135" s="47" t="s">
        <v>440</v>
      </c>
      <c r="L135" s="47" t="str">
        <f>IF(1.69*823.32=0," ",TEXT(,ROUND((1.69*823.32*4.68),2)))</f>
        <v>6511,8</v>
      </c>
      <c r="M135" s="47" t="s">
        <v>441</v>
      </c>
      <c r="N135" s="47" t="s">
        <v>442</v>
      </c>
      <c r="O135" s="49"/>
      <c r="P135" s="49"/>
      <c r="Q135" s="49"/>
      <c r="R135" s="49"/>
      <c r="S135" s="49"/>
      <c r="T135" s="50"/>
      <c r="U135" s="50"/>
      <c r="V135" s="50"/>
      <c r="W135" s="50"/>
      <c r="X135" s="50"/>
      <c r="Y135" s="50"/>
      <c r="Z135" s="50"/>
      <c r="AA135" s="50" t="s">
        <v>122</v>
      </c>
      <c r="AB135" s="50" t="s">
        <v>123</v>
      </c>
      <c r="AC135" s="50">
        <v>1834</v>
      </c>
      <c r="AD135" s="50">
        <v>1065</v>
      </c>
      <c r="AE135" s="50"/>
      <c r="AF135" s="50" t="s">
        <v>443</v>
      </c>
      <c r="AG135" s="50" t="s">
        <v>125</v>
      </c>
      <c r="AH135" s="50"/>
      <c r="AI135" s="50">
        <f>1813+159</f>
        <v>1972</v>
      </c>
    </row>
    <row r="136" spans="1:35" ht="105.6" x14ac:dyDescent="0.25">
      <c r="A136" s="44">
        <v>92</v>
      </c>
      <c r="B136" s="45" t="s">
        <v>444</v>
      </c>
      <c r="C136" s="46" t="str">
        <f t="shared" ca="1" si="4"/>
        <v xml:space="preserve">Установка элементов каркаса: из брусьев
1 м3 древесины в конструкции
1159 руб. НР 90%=118%*(0,85*0,9) от ФОТ (1288 руб.)
554 руб.СП 43%=63%*(0,8*0,85) от ФОТ (1288 руб.)
</v>
      </c>
      <c r="D136" s="44">
        <v>0.37</v>
      </c>
      <c r="E136" s="47" t="s">
        <v>214</v>
      </c>
      <c r="F136" s="47">
        <v>33.51</v>
      </c>
      <c r="G136" s="47">
        <v>2189</v>
      </c>
      <c r="H136" s="58" t="s">
        <v>215</v>
      </c>
      <c r="I136" s="48">
        <v>4858</v>
      </c>
      <c r="J136" s="47">
        <v>1288</v>
      </c>
      <c r="K136" s="47">
        <v>168</v>
      </c>
      <c r="L136" s="47" t="str">
        <f>IF(0.37*2189=0," ",TEXT(,ROUND((0.37*2189*4.2),2)))</f>
        <v>3401,71</v>
      </c>
      <c r="M136" s="47">
        <v>22.5</v>
      </c>
      <c r="N136" s="47">
        <v>8.33</v>
      </c>
      <c r="O136" s="49"/>
      <c r="P136" s="49"/>
      <c r="Q136" s="49"/>
      <c r="R136" s="49"/>
      <c r="S136" s="49"/>
      <c r="T136" s="50"/>
      <c r="U136" s="50"/>
      <c r="V136" s="50"/>
      <c r="W136" s="50"/>
      <c r="X136" s="50"/>
      <c r="Y136" s="50"/>
      <c r="Z136" s="50"/>
      <c r="AA136" s="50" t="s">
        <v>84</v>
      </c>
      <c r="AB136" s="50" t="s">
        <v>85</v>
      </c>
      <c r="AC136" s="50">
        <v>1159</v>
      </c>
      <c r="AD136" s="50">
        <v>554</v>
      </c>
      <c r="AE136" s="50"/>
      <c r="AF136" s="50" t="s">
        <v>216</v>
      </c>
      <c r="AG136" s="50" t="s">
        <v>217</v>
      </c>
      <c r="AH136" s="50"/>
      <c r="AI136" s="50">
        <f>1288+0</f>
        <v>1288</v>
      </c>
    </row>
    <row r="137" spans="1:35" ht="132" x14ac:dyDescent="0.25">
      <c r="A137" s="44">
        <v>93</v>
      </c>
      <c r="B137" s="45" t="s">
        <v>445</v>
      </c>
      <c r="C137" s="46" t="str">
        <f t="shared" ca="1" si="4"/>
        <v xml:space="preserve">Установка пароизоляционного слоя из: пленки полиэтиленовой (без стекловолокнистых материалов)
100 м2 поверхности покрытия изоляции
906 руб. НР 77%=100%*(0,85*0,9) от ФОТ (1177 руб.)
565 руб.СП 48%=70%*(0,8*0,85) от ФОТ (1177 руб.)
</v>
      </c>
      <c r="D137" s="44">
        <v>0.50700000000000001</v>
      </c>
      <c r="E137" s="47" t="s">
        <v>446</v>
      </c>
      <c r="F137" s="47">
        <v>21.79</v>
      </c>
      <c r="G137" s="47">
        <v>1385.68</v>
      </c>
      <c r="H137" s="58" t="s">
        <v>447</v>
      </c>
      <c r="I137" s="48">
        <v>3600</v>
      </c>
      <c r="J137" s="47">
        <v>1177</v>
      </c>
      <c r="K137" s="47">
        <v>162</v>
      </c>
      <c r="L137" s="47" t="str">
        <f>IF(0.507*1385.68=0," ",TEXT(,ROUND((0.507*1385.68*3.22),2)))</f>
        <v>2262,18</v>
      </c>
      <c r="M137" s="47">
        <v>14.36</v>
      </c>
      <c r="N137" s="47">
        <v>7.28</v>
      </c>
      <c r="O137" s="49"/>
      <c r="P137" s="49"/>
      <c r="Q137" s="49"/>
      <c r="R137" s="49"/>
      <c r="S137" s="49"/>
      <c r="T137" s="50"/>
      <c r="U137" s="50"/>
      <c r="V137" s="50"/>
      <c r="W137" s="50"/>
      <c r="X137" s="50"/>
      <c r="Y137" s="50"/>
      <c r="Z137" s="50"/>
      <c r="AA137" s="50" t="s">
        <v>188</v>
      </c>
      <c r="AB137" s="50" t="s">
        <v>32</v>
      </c>
      <c r="AC137" s="50">
        <v>906</v>
      </c>
      <c r="AD137" s="50">
        <v>565</v>
      </c>
      <c r="AE137" s="50"/>
      <c r="AF137" s="50" t="s">
        <v>448</v>
      </c>
      <c r="AG137" s="50" t="s">
        <v>449</v>
      </c>
      <c r="AH137" s="50"/>
      <c r="AI137" s="50">
        <f>1177+0</f>
        <v>1177</v>
      </c>
    </row>
    <row r="138" spans="1:35" ht="66" x14ac:dyDescent="0.25">
      <c r="A138" s="44">
        <v>94</v>
      </c>
      <c r="B138" s="45" t="s">
        <v>450</v>
      </c>
      <c r="C138" s="46" t="str">
        <f t="shared" ca="1" si="4"/>
        <v xml:space="preserve">Пленка полиэтиленовая толщиной: 0,2-0,5 мм, изоловая
м2
</v>
      </c>
      <c r="D138" s="44">
        <v>-58.31</v>
      </c>
      <c r="E138" s="47">
        <v>4.82</v>
      </c>
      <c r="F138" s="47"/>
      <c r="G138" s="47">
        <v>4.82</v>
      </c>
      <c r="H138" s="58" t="s">
        <v>451</v>
      </c>
      <c r="I138" s="48">
        <v>-459</v>
      </c>
      <c r="J138" s="47"/>
      <c r="K138" s="47"/>
      <c r="L138" s="47" t="str">
        <f>IF(-58.31*4.82=0," ",TEXT(,ROUND((-58.31*4.82*1.634),2)))</f>
        <v>-459,24</v>
      </c>
      <c r="M138" s="47"/>
      <c r="N138" s="47"/>
      <c r="O138" s="49"/>
      <c r="P138" s="49"/>
      <c r="Q138" s="49"/>
      <c r="R138" s="49"/>
      <c r="S138" s="49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 t="s">
        <v>452</v>
      </c>
      <c r="AG138" s="50" t="s">
        <v>133</v>
      </c>
      <c r="AH138" s="50"/>
      <c r="AI138" s="50">
        <f>0+0</f>
        <v>0</v>
      </c>
    </row>
    <row r="139" spans="1:35" ht="52.8" x14ac:dyDescent="0.25">
      <c r="A139" s="44">
        <v>95</v>
      </c>
      <c r="B139" s="45" t="s">
        <v>134</v>
      </c>
      <c r="C139" s="46" t="str">
        <f t="shared" ca="1" si="4"/>
        <v xml:space="preserve">ИЗОСПАН: В
10 м2
</v>
      </c>
      <c r="D139" s="44">
        <v>5.8310000000000004</v>
      </c>
      <c r="E139" s="47">
        <v>27.5</v>
      </c>
      <c r="F139" s="47"/>
      <c r="G139" s="47">
        <v>27.5</v>
      </c>
      <c r="H139" s="58" t="s">
        <v>135</v>
      </c>
      <c r="I139" s="48">
        <v>934</v>
      </c>
      <c r="J139" s="47"/>
      <c r="K139" s="47"/>
      <c r="L139" s="47" t="str">
        <f>IF(5.831*27.5=0," ",TEXT(,ROUND((5.831*27.5*5.839),2)))</f>
        <v>936,3</v>
      </c>
      <c r="M139" s="47"/>
      <c r="N139" s="47"/>
      <c r="O139" s="49"/>
      <c r="P139" s="49"/>
      <c r="Q139" s="49"/>
      <c r="R139" s="49"/>
      <c r="S139" s="49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 t="s">
        <v>136</v>
      </c>
      <c r="AG139" s="50" t="s">
        <v>137</v>
      </c>
      <c r="AH139" s="50"/>
      <c r="AI139" s="50">
        <f>0+0</f>
        <v>0</v>
      </c>
    </row>
    <row r="140" spans="1:35" ht="158.4" x14ac:dyDescent="0.25">
      <c r="A140" s="44">
        <v>96</v>
      </c>
      <c r="B140" s="45" t="s">
        <v>453</v>
      </c>
      <c r="C140" s="46" t="str">
        <f t="shared" ca="1" si="4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(материалы МАТ=0 к расх.)
942 руб. НР 77%=100%*(0,85*0,9) от ФОТ (1224 руб.)
588 руб.СП 48%=70%*(0,8*0,85) от ФОТ (1224 руб.)
</v>
      </c>
      <c r="D140" s="44">
        <v>0.50800000000000001</v>
      </c>
      <c r="E140" s="47" t="s">
        <v>454</v>
      </c>
      <c r="F140" s="47" t="s">
        <v>455</v>
      </c>
      <c r="G140" s="47"/>
      <c r="H140" s="58" t="s">
        <v>184</v>
      </c>
      <c r="I140" s="48">
        <v>1281</v>
      </c>
      <c r="J140" s="47">
        <v>1224</v>
      </c>
      <c r="K140" s="47">
        <v>57</v>
      </c>
      <c r="L140" s="47" t="str">
        <f>IF(0.508*0=0," ",TEXT(,ROUND((0.508*0*1.72),2)))</f>
        <v xml:space="preserve"> </v>
      </c>
      <c r="M140" s="47" t="s">
        <v>456</v>
      </c>
      <c r="N140" s="47" t="s">
        <v>457</v>
      </c>
      <c r="O140" s="49"/>
      <c r="P140" s="49"/>
      <c r="Q140" s="49"/>
      <c r="R140" s="49"/>
      <c r="S140" s="49"/>
      <c r="T140" s="50"/>
      <c r="U140" s="50"/>
      <c r="V140" s="50"/>
      <c r="W140" s="50"/>
      <c r="X140" s="50"/>
      <c r="Y140" s="50"/>
      <c r="Z140" s="50"/>
      <c r="AA140" s="50" t="s">
        <v>188</v>
      </c>
      <c r="AB140" s="50" t="s">
        <v>32</v>
      </c>
      <c r="AC140" s="50">
        <v>942</v>
      </c>
      <c r="AD140" s="50">
        <v>588</v>
      </c>
      <c r="AE140" s="50" t="s">
        <v>458</v>
      </c>
      <c r="AF140" s="50" t="s">
        <v>190</v>
      </c>
      <c r="AG140" s="50" t="s">
        <v>191</v>
      </c>
      <c r="AH140" s="50"/>
      <c r="AI140" s="50">
        <f>1224+0</f>
        <v>1224</v>
      </c>
    </row>
    <row r="141" spans="1:35" ht="92.4" x14ac:dyDescent="0.25">
      <c r="A141" s="44">
        <v>97</v>
      </c>
      <c r="B141" s="45" t="s">
        <v>177</v>
      </c>
      <c r="C141" s="46" t="str">
        <f t="shared" ca="1" si="4"/>
        <v xml:space="preserve">Плиты теплоизоляционные энергетические гидрофобизированные базальтовые: ПТЭ-125 , размером 2000х1000х50 мм 4145,05/5,63=736,24
м3
</v>
      </c>
      <c r="D141" s="44" t="s">
        <v>459</v>
      </c>
      <c r="E141" s="47">
        <v>736.24</v>
      </c>
      <c r="F141" s="47"/>
      <c r="G141" s="47">
        <v>736.24</v>
      </c>
      <c r="H141" s="58" t="s">
        <v>179</v>
      </c>
      <c r="I141" s="48">
        <v>10843</v>
      </c>
      <c r="J141" s="47"/>
      <c r="K141" s="47"/>
      <c r="L141" s="47" t="str">
        <f>IF(2.6162*736.24=0," ",TEXT(,ROUND((2.6162*736.24*5.63),2)))</f>
        <v>10844,23</v>
      </c>
      <c r="M141" s="47"/>
      <c r="N141" s="47"/>
      <c r="O141" s="49"/>
      <c r="P141" s="49"/>
      <c r="Q141" s="49"/>
      <c r="R141" s="49"/>
      <c r="S141" s="49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 t="s">
        <v>180</v>
      </c>
      <c r="AG141" s="50" t="s">
        <v>168</v>
      </c>
      <c r="AH141" s="50"/>
      <c r="AI141" s="50">
        <f>0+0</f>
        <v>0</v>
      </c>
    </row>
    <row r="142" spans="1:35" ht="132" x14ac:dyDescent="0.25">
      <c r="A142" s="44">
        <v>98</v>
      </c>
      <c r="B142" s="45" t="s">
        <v>445</v>
      </c>
      <c r="C142" s="46" t="str">
        <f t="shared" ca="1" si="4"/>
        <v xml:space="preserve">Установка пароизоляционного слоя из: пленки полиэтиленовой (без стекловолокнистых материалов)
100 м2 поверхности покрытия изоляции
992 руб. НР 77%=100%*(0,85*0,9) от ФОТ (1288 руб.)
618 руб.СП 48%=70%*(0,8*0,85) от ФОТ (1288 руб.)
</v>
      </c>
      <c r="D142" s="44">
        <v>0.55900000000000005</v>
      </c>
      <c r="E142" s="47" t="s">
        <v>446</v>
      </c>
      <c r="F142" s="47">
        <v>21.79</v>
      </c>
      <c r="G142" s="47">
        <v>1385.68</v>
      </c>
      <c r="H142" s="58" t="s">
        <v>447</v>
      </c>
      <c r="I142" s="48">
        <v>3958</v>
      </c>
      <c r="J142" s="47">
        <v>1288</v>
      </c>
      <c r="K142" s="47">
        <v>174</v>
      </c>
      <c r="L142" s="47" t="str">
        <f>IF(0.559*1385.68=0," ",TEXT(,ROUND((0.559*1385.68*3.22),2)))</f>
        <v>2494,2</v>
      </c>
      <c r="M142" s="47">
        <v>14.36</v>
      </c>
      <c r="N142" s="47">
        <v>8.0299999999999994</v>
      </c>
      <c r="O142" s="49"/>
      <c r="P142" s="49"/>
      <c r="Q142" s="49"/>
      <c r="R142" s="49"/>
      <c r="S142" s="49"/>
      <c r="T142" s="50"/>
      <c r="U142" s="50"/>
      <c r="V142" s="50"/>
      <c r="W142" s="50"/>
      <c r="X142" s="50"/>
      <c r="Y142" s="50"/>
      <c r="Z142" s="50"/>
      <c r="AA142" s="50" t="s">
        <v>188</v>
      </c>
      <c r="AB142" s="50" t="s">
        <v>32</v>
      </c>
      <c r="AC142" s="50">
        <v>992</v>
      </c>
      <c r="AD142" s="50">
        <v>618</v>
      </c>
      <c r="AE142" s="50"/>
      <c r="AF142" s="50" t="s">
        <v>448</v>
      </c>
      <c r="AG142" s="50" t="s">
        <v>449</v>
      </c>
      <c r="AH142" s="50"/>
      <c r="AI142" s="50">
        <f>1288+0</f>
        <v>1288</v>
      </c>
    </row>
    <row r="143" spans="1:35" ht="66" x14ac:dyDescent="0.25">
      <c r="A143" s="44">
        <v>99</v>
      </c>
      <c r="B143" s="45" t="s">
        <v>450</v>
      </c>
      <c r="C143" s="46" t="str">
        <f t="shared" ca="1" si="4"/>
        <v xml:space="preserve">Пленка полиэтиленовая толщиной: 0,2-0,5 мм, изоловая
м2
</v>
      </c>
      <c r="D143" s="44">
        <v>-64.290000000000006</v>
      </c>
      <c r="E143" s="47">
        <v>4.82</v>
      </c>
      <c r="F143" s="47"/>
      <c r="G143" s="47">
        <v>4.82</v>
      </c>
      <c r="H143" s="58" t="s">
        <v>451</v>
      </c>
      <c r="I143" s="48">
        <v>-507</v>
      </c>
      <c r="J143" s="47"/>
      <c r="K143" s="47"/>
      <c r="L143" s="47" t="str">
        <f>IF(-64.29*4.82=0," ",TEXT(,ROUND((-64.29*4.82*1.634),2)))</f>
        <v>-506,34</v>
      </c>
      <c r="M143" s="47"/>
      <c r="N143" s="47"/>
      <c r="O143" s="49"/>
      <c r="P143" s="49"/>
      <c r="Q143" s="49"/>
      <c r="R143" s="49"/>
      <c r="S143" s="49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 t="s">
        <v>452</v>
      </c>
      <c r="AG143" s="50" t="s">
        <v>133</v>
      </c>
      <c r="AH143" s="50"/>
      <c r="AI143" s="50">
        <f>0+0</f>
        <v>0</v>
      </c>
    </row>
    <row r="144" spans="1:35" ht="52.8" x14ac:dyDescent="0.25">
      <c r="A144" s="44">
        <v>100</v>
      </c>
      <c r="B144" s="45" t="s">
        <v>286</v>
      </c>
      <c r="C144" s="46" t="str">
        <f t="shared" ca="1" si="4"/>
        <v xml:space="preserve">ИЗОСПАН: D
10 м2
</v>
      </c>
      <c r="D144" s="44">
        <v>6.4290000000000003</v>
      </c>
      <c r="E144" s="47">
        <v>37.5</v>
      </c>
      <c r="F144" s="47"/>
      <c r="G144" s="47">
        <v>37.5</v>
      </c>
      <c r="H144" s="58" t="s">
        <v>287</v>
      </c>
      <c r="I144" s="48">
        <v>1076</v>
      </c>
      <c r="J144" s="47"/>
      <c r="K144" s="47"/>
      <c r="L144" s="47" t="str">
        <f>IF(6.429*37.5=0," ",TEXT(,ROUND((6.429*37.5*4.463),2)))</f>
        <v>1075,97</v>
      </c>
      <c r="M144" s="47"/>
      <c r="N144" s="47"/>
      <c r="O144" s="49"/>
      <c r="P144" s="49"/>
      <c r="Q144" s="49"/>
      <c r="R144" s="49"/>
      <c r="S144" s="49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 t="s">
        <v>288</v>
      </c>
      <c r="AG144" s="50" t="s">
        <v>137</v>
      </c>
      <c r="AH144" s="50"/>
      <c r="AI144" s="50">
        <f>0+0</f>
        <v>0</v>
      </c>
    </row>
    <row r="145" spans="1:35" ht="132" x14ac:dyDescent="0.25">
      <c r="A145" s="44">
        <v>101</v>
      </c>
      <c r="B145" s="45" t="s">
        <v>460</v>
      </c>
      <c r="C145" s="46" t="str">
        <f t="shared" ca="1" si="4"/>
        <v xml:space="preserve">Устройство мелких покрытий (брандмауэры, парапеты, свесы и т.п.) из листовой оцинкованной стали
100 м2 покрытия
12507 руб. НР 92%=120%*(0,85*0,9) от ФОТ (13595 руб.)
5982 руб.СП 44%=65%*(0,8*0,85) от ФОТ (13595 руб.)
</v>
      </c>
      <c r="D145" s="44">
        <v>0.77</v>
      </c>
      <c r="E145" s="47" t="s">
        <v>461</v>
      </c>
      <c r="F145" s="47" t="s">
        <v>462</v>
      </c>
      <c r="G145" s="47">
        <v>8890.58</v>
      </c>
      <c r="H145" s="58" t="s">
        <v>463</v>
      </c>
      <c r="I145" s="48">
        <v>37370</v>
      </c>
      <c r="J145" s="47">
        <v>13547</v>
      </c>
      <c r="K145" s="47" t="s">
        <v>464</v>
      </c>
      <c r="L145" s="47" t="str">
        <f>IF(0.77*8890.58=0," ",TEXT(,ROUND((0.77*8890.58*3.44),2)))</f>
        <v>23549,37</v>
      </c>
      <c r="M145" s="47" t="s">
        <v>465</v>
      </c>
      <c r="N145" s="47" t="s">
        <v>466</v>
      </c>
      <c r="O145" s="49"/>
      <c r="P145" s="49"/>
      <c r="Q145" s="49"/>
      <c r="R145" s="49"/>
      <c r="S145" s="49"/>
      <c r="T145" s="50"/>
      <c r="U145" s="50"/>
      <c r="V145" s="50"/>
      <c r="W145" s="50"/>
      <c r="X145" s="50"/>
      <c r="Y145" s="50"/>
      <c r="Z145" s="50"/>
      <c r="AA145" s="50" t="s">
        <v>145</v>
      </c>
      <c r="AB145" s="50" t="s">
        <v>146</v>
      </c>
      <c r="AC145" s="50">
        <v>12507</v>
      </c>
      <c r="AD145" s="50">
        <v>5982</v>
      </c>
      <c r="AE145" s="50"/>
      <c r="AF145" s="50" t="s">
        <v>467</v>
      </c>
      <c r="AG145" s="50" t="s">
        <v>34</v>
      </c>
      <c r="AH145" s="50"/>
      <c r="AI145" s="50">
        <f>13547+48</f>
        <v>13595</v>
      </c>
    </row>
    <row r="146" spans="1:35" ht="66" x14ac:dyDescent="0.25">
      <c r="A146" s="44">
        <v>102</v>
      </c>
      <c r="B146" s="45" t="s">
        <v>360</v>
      </c>
      <c r="C146" s="46" t="str">
        <f t="shared" ca="1" si="4"/>
        <v xml:space="preserve">Сталь листовая оцинкованная толщиной листа: 0,7 мм
т
</v>
      </c>
      <c r="D146" s="44">
        <v>-0.60209999999999997</v>
      </c>
      <c r="E146" s="47">
        <v>11200</v>
      </c>
      <c r="F146" s="47"/>
      <c r="G146" s="47">
        <v>11200</v>
      </c>
      <c r="H146" s="58" t="s">
        <v>361</v>
      </c>
      <c r="I146" s="48">
        <v>-23091</v>
      </c>
      <c r="J146" s="47"/>
      <c r="K146" s="47"/>
      <c r="L146" s="47" t="str">
        <f>IF(-0.6021*11200=0," ",TEXT(,ROUND((-0.6021*11200*3.424),2)))</f>
        <v>-23089,81</v>
      </c>
      <c r="M146" s="47"/>
      <c r="N146" s="47"/>
      <c r="O146" s="49"/>
      <c r="P146" s="49"/>
      <c r="Q146" s="49"/>
      <c r="R146" s="49"/>
      <c r="S146" s="49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 t="s">
        <v>362</v>
      </c>
      <c r="AG146" s="50" t="s">
        <v>158</v>
      </c>
      <c r="AH146" s="50"/>
      <c r="AI146" s="50">
        <f>0+0</f>
        <v>0</v>
      </c>
    </row>
    <row r="147" spans="1:35" ht="66" x14ac:dyDescent="0.25">
      <c r="A147" s="44">
        <v>103</v>
      </c>
      <c r="B147" s="45" t="s">
        <v>339</v>
      </c>
      <c r="C147" s="46" t="str">
        <f t="shared" ca="1" si="4"/>
        <v xml:space="preserve">Сталь листовая оцинкованная толщиной листа: 0,55 мм
т
</v>
      </c>
      <c r="D147" s="44">
        <v>0.48309999999999997</v>
      </c>
      <c r="E147" s="47">
        <v>10484</v>
      </c>
      <c r="F147" s="47"/>
      <c r="G147" s="47">
        <v>10484</v>
      </c>
      <c r="H147" s="58" t="s">
        <v>341</v>
      </c>
      <c r="I147" s="48">
        <v>18680</v>
      </c>
      <c r="J147" s="47"/>
      <c r="K147" s="47"/>
      <c r="L147" s="47" t="str">
        <f>IF(0.4831*10484=0," ",TEXT(,ROUND((0.4831*10484*3.688),2)))</f>
        <v>18679,06</v>
      </c>
      <c r="M147" s="47"/>
      <c r="N147" s="47"/>
      <c r="O147" s="49"/>
      <c r="P147" s="49"/>
      <c r="Q147" s="49"/>
      <c r="R147" s="49"/>
      <c r="S147" s="49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 t="s">
        <v>342</v>
      </c>
      <c r="AG147" s="50" t="s">
        <v>158</v>
      </c>
      <c r="AH147" s="50"/>
      <c r="AI147" s="50">
        <f>0+0</f>
        <v>0</v>
      </c>
    </row>
    <row r="148" spans="1:35" ht="132" x14ac:dyDescent="0.25">
      <c r="A148" s="44">
        <v>104</v>
      </c>
      <c r="B148" s="45" t="s">
        <v>468</v>
      </c>
      <c r="C148" s="46" t="str">
        <f t="shared" ca="1" si="4"/>
        <v xml:space="preserve">Установка зонтов над шахтами из листовой стали прямоугольного сечения периметром : 4000 мм
1 зонт
1169 руб. НР 98%=128%*(0,85*0,9) от ФОТ (1193 руб.)
668 руб.СП 56%=83%*(0,8*0,85) от ФОТ (1193 руб.)
</v>
      </c>
      <c r="D148" s="44">
        <v>2</v>
      </c>
      <c r="E148" s="47" t="s">
        <v>469</v>
      </c>
      <c r="F148" s="47" t="s">
        <v>470</v>
      </c>
      <c r="G148" s="47">
        <v>8.49</v>
      </c>
      <c r="H148" s="58" t="s">
        <v>471</v>
      </c>
      <c r="I148" s="48">
        <v>1448</v>
      </c>
      <c r="J148" s="47">
        <v>1193</v>
      </c>
      <c r="K148" s="47">
        <v>144</v>
      </c>
      <c r="L148" s="47" t="str">
        <f>IF(2*8.49=0," ",TEXT(,ROUND((2*8.49*6.54),2)))</f>
        <v>111,05</v>
      </c>
      <c r="M148" s="47" t="s">
        <v>472</v>
      </c>
      <c r="N148" s="47" t="s">
        <v>473</v>
      </c>
      <c r="O148" s="49"/>
      <c r="P148" s="49"/>
      <c r="Q148" s="49"/>
      <c r="R148" s="49"/>
      <c r="S148" s="49"/>
      <c r="T148" s="50"/>
      <c r="U148" s="50"/>
      <c r="V148" s="50"/>
      <c r="W148" s="50"/>
      <c r="X148" s="50"/>
      <c r="Y148" s="50"/>
      <c r="Z148" s="50"/>
      <c r="AA148" s="50" t="s">
        <v>474</v>
      </c>
      <c r="AB148" s="50" t="s">
        <v>475</v>
      </c>
      <c r="AC148" s="50">
        <v>1169</v>
      </c>
      <c r="AD148" s="50">
        <v>668</v>
      </c>
      <c r="AE148" s="50"/>
      <c r="AF148" s="50" t="s">
        <v>476</v>
      </c>
      <c r="AG148" s="50" t="s">
        <v>477</v>
      </c>
      <c r="AH148" s="50"/>
      <c r="AI148" s="50">
        <f>1193+0</f>
        <v>1193</v>
      </c>
    </row>
    <row r="149" spans="1:35" ht="79.2" x14ac:dyDescent="0.25">
      <c r="A149" s="44">
        <v>105</v>
      </c>
      <c r="B149" s="45" t="s">
        <v>478</v>
      </c>
      <c r="C149" s="46" t="str">
        <f t="shared" ca="1" si="4"/>
        <v xml:space="preserve">Зонты вентиляционных систем из листовой оцинкованной стали: прямоугольные, периметром шахты 4000 мм
шт.
</v>
      </c>
      <c r="D149" s="44">
        <v>2</v>
      </c>
      <c r="E149" s="47">
        <v>656.4</v>
      </c>
      <c r="F149" s="47"/>
      <c r="G149" s="47">
        <v>656.4</v>
      </c>
      <c r="H149" s="58" t="s">
        <v>479</v>
      </c>
      <c r="I149" s="48">
        <v>5440</v>
      </c>
      <c r="J149" s="47"/>
      <c r="K149" s="47"/>
      <c r="L149" s="47" t="str">
        <f>IF(2*656.4=0," ",TEXT(,ROUND((2*656.4*4.143),2)))</f>
        <v>5438,93</v>
      </c>
      <c r="M149" s="47"/>
      <c r="N149" s="47"/>
      <c r="O149" s="49"/>
      <c r="P149" s="49"/>
      <c r="Q149" s="49"/>
      <c r="R149" s="49"/>
      <c r="S149" s="49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 t="s">
        <v>480</v>
      </c>
      <c r="AG149" s="50" t="s">
        <v>227</v>
      </c>
      <c r="AH149" s="50"/>
      <c r="AI149" s="50">
        <f>0+0</f>
        <v>0</v>
      </c>
    </row>
    <row r="150" spans="1:35" ht="132" x14ac:dyDescent="0.25">
      <c r="A150" s="44">
        <v>106</v>
      </c>
      <c r="B150" s="45" t="s">
        <v>481</v>
      </c>
      <c r="C150" s="46" t="str">
        <f t="shared" ca="1" si="4"/>
        <v xml:space="preserve">Установка зонтов над шахтами из листовой стали прямоугольного сечения периметром : 3600 мм
1 зонт
1917 руб. НР 98%=128%*(0,85*0,9) от ФОТ (1956 руб.)
1095 руб.СП 56%=83%*(0,8*0,85) от ФОТ (1956 руб.)
</v>
      </c>
      <c r="D150" s="44">
        <v>4</v>
      </c>
      <c r="E150" s="47" t="s">
        <v>482</v>
      </c>
      <c r="F150" s="47" t="s">
        <v>483</v>
      </c>
      <c r="G150" s="47">
        <v>8.39</v>
      </c>
      <c r="H150" s="58" t="s">
        <v>471</v>
      </c>
      <c r="I150" s="48">
        <v>2434</v>
      </c>
      <c r="J150" s="47">
        <v>1940</v>
      </c>
      <c r="K150" s="47" t="s">
        <v>484</v>
      </c>
      <c r="L150" s="47" t="str">
        <f>IF(4*8.39=0," ",TEXT(,ROUND((4*8.39*6.54),2)))</f>
        <v>219,48</v>
      </c>
      <c r="M150" s="47" t="s">
        <v>485</v>
      </c>
      <c r="N150" s="47" t="s">
        <v>486</v>
      </c>
      <c r="O150" s="49"/>
      <c r="P150" s="49"/>
      <c r="Q150" s="49"/>
      <c r="R150" s="49"/>
      <c r="S150" s="49"/>
      <c r="T150" s="50"/>
      <c r="U150" s="50"/>
      <c r="V150" s="50"/>
      <c r="W150" s="50"/>
      <c r="X150" s="50"/>
      <c r="Y150" s="50"/>
      <c r="Z150" s="50"/>
      <c r="AA150" s="50" t="s">
        <v>474</v>
      </c>
      <c r="AB150" s="50" t="s">
        <v>475</v>
      </c>
      <c r="AC150" s="50">
        <v>1917</v>
      </c>
      <c r="AD150" s="50">
        <v>1095</v>
      </c>
      <c r="AE150" s="50"/>
      <c r="AF150" s="50" t="s">
        <v>487</v>
      </c>
      <c r="AG150" s="50" t="s">
        <v>477</v>
      </c>
      <c r="AH150" s="50"/>
      <c r="AI150" s="50">
        <f>1940+16</f>
        <v>1956</v>
      </c>
    </row>
    <row r="151" spans="1:35" ht="79.2" x14ac:dyDescent="0.25">
      <c r="A151" s="44">
        <v>107</v>
      </c>
      <c r="B151" s="45" t="s">
        <v>488</v>
      </c>
      <c r="C151" s="46" t="str">
        <f t="shared" ca="1" si="4"/>
        <v xml:space="preserve">Зонты вентиляционных систем из листовой оцинкованной стали: прямоугольные, периметром шахты 3600 мм
шт.
</v>
      </c>
      <c r="D151" s="44">
        <v>4</v>
      </c>
      <c r="E151" s="47">
        <v>588</v>
      </c>
      <c r="F151" s="47"/>
      <c r="G151" s="47">
        <v>588</v>
      </c>
      <c r="H151" s="58" t="s">
        <v>489</v>
      </c>
      <c r="I151" s="48">
        <v>8096</v>
      </c>
      <c r="J151" s="47"/>
      <c r="K151" s="47"/>
      <c r="L151" s="47" t="str">
        <f>IF(4*588=0," ",TEXT(,ROUND((4*588*3.442),2)))</f>
        <v>8095,58</v>
      </c>
      <c r="M151" s="47"/>
      <c r="N151" s="47"/>
      <c r="O151" s="49"/>
      <c r="P151" s="49"/>
      <c r="Q151" s="49"/>
      <c r="R151" s="49"/>
      <c r="S151" s="49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 t="s">
        <v>490</v>
      </c>
      <c r="AG151" s="50" t="s">
        <v>227</v>
      </c>
      <c r="AH151" s="50"/>
      <c r="AI151" s="50">
        <f>0+0</f>
        <v>0</v>
      </c>
    </row>
    <row r="152" spans="1:35" ht="66" x14ac:dyDescent="0.25">
      <c r="A152" s="44">
        <v>108</v>
      </c>
      <c r="B152" s="45" t="s">
        <v>491</v>
      </c>
      <c r="C152" s="46" t="str">
        <f t="shared" ca="1" si="4"/>
        <v xml:space="preserve">Сталь полосовая, марка стали: Ст0 шириной 70 мм толщиной 4-5 мм
т
</v>
      </c>
      <c r="D152" s="44">
        <v>0.11024</v>
      </c>
      <c r="E152" s="47">
        <v>5561</v>
      </c>
      <c r="F152" s="47"/>
      <c r="G152" s="47">
        <v>5561</v>
      </c>
      <c r="H152" s="58" t="s">
        <v>492</v>
      </c>
      <c r="I152" s="48">
        <v>3824</v>
      </c>
      <c r="J152" s="47"/>
      <c r="K152" s="47"/>
      <c r="L152" s="47" t="str">
        <f>IF(0.11024*5561=0," ",TEXT(,ROUND((0.11024*5561*6.238),2)))</f>
        <v>3824,17</v>
      </c>
      <c r="M152" s="47"/>
      <c r="N152" s="47"/>
      <c r="O152" s="49"/>
      <c r="P152" s="49"/>
      <c r="Q152" s="49"/>
      <c r="R152" s="49"/>
      <c r="S152" s="49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 t="s">
        <v>493</v>
      </c>
      <c r="AG152" s="50" t="s">
        <v>158</v>
      </c>
      <c r="AH152" s="50"/>
      <c r="AI152" s="50">
        <f>0+0</f>
        <v>0</v>
      </c>
    </row>
    <row r="153" spans="1:35" ht="52.8" x14ac:dyDescent="0.25">
      <c r="A153" s="52">
        <v>109</v>
      </c>
      <c r="B153" s="53" t="s">
        <v>494</v>
      </c>
      <c r="C153" s="54" t="str">
        <f t="shared" ca="1" si="4"/>
        <v xml:space="preserve">Дюбель-гвоздь 8х100 мм
100 шт.
</v>
      </c>
      <c r="D153" s="52">
        <v>1.04</v>
      </c>
      <c r="E153" s="55">
        <v>118</v>
      </c>
      <c r="F153" s="55"/>
      <c r="G153" s="55">
        <v>118</v>
      </c>
      <c r="H153" s="56" t="s">
        <v>495</v>
      </c>
      <c r="I153" s="57">
        <v>353</v>
      </c>
      <c r="J153" s="55"/>
      <c r="K153" s="55"/>
      <c r="L153" s="55" t="str">
        <f>IF(1.04*118=0," ",TEXT(,ROUND((1.04*118*2.87),2)))</f>
        <v>352,21</v>
      </c>
      <c r="M153" s="55"/>
      <c r="N153" s="55"/>
      <c r="O153" s="49"/>
      <c r="P153" s="49"/>
      <c r="Q153" s="49"/>
      <c r="R153" s="49"/>
      <c r="S153" s="49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 t="s">
        <v>496</v>
      </c>
      <c r="AG153" s="50" t="s">
        <v>497</v>
      </c>
      <c r="AH153" s="50"/>
      <c r="AI153" s="50">
        <f>0+0</f>
        <v>0</v>
      </c>
    </row>
    <row r="154" spans="1:35" ht="26.4" x14ac:dyDescent="0.25">
      <c r="A154" s="69" t="s">
        <v>106</v>
      </c>
      <c r="B154" s="64"/>
      <c r="C154" s="64"/>
      <c r="D154" s="64"/>
      <c r="E154" s="64"/>
      <c r="F154" s="64"/>
      <c r="G154" s="64"/>
      <c r="H154" s="64"/>
      <c r="I154" s="48">
        <v>16468</v>
      </c>
      <c r="J154" s="47">
        <v>1282</v>
      </c>
      <c r="K154" s="47" t="s">
        <v>498</v>
      </c>
      <c r="L154" s="47">
        <v>15034</v>
      </c>
      <c r="M154" s="47"/>
      <c r="N154" s="47" t="s">
        <v>499</v>
      </c>
      <c r="O154" s="17"/>
      <c r="P154" s="18"/>
      <c r="Q154" s="17"/>
      <c r="R154" s="17"/>
      <c r="S154" s="17"/>
    </row>
    <row r="155" spans="1:35" ht="26.4" x14ac:dyDescent="0.25">
      <c r="A155" s="69" t="s">
        <v>230</v>
      </c>
      <c r="B155" s="64"/>
      <c r="C155" s="64"/>
      <c r="D155" s="64"/>
      <c r="E155" s="64"/>
      <c r="F155" s="64"/>
      <c r="G155" s="64"/>
      <c r="H155" s="64"/>
      <c r="I155" s="48">
        <v>16700</v>
      </c>
      <c r="J155" s="47">
        <v>1475</v>
      </c>
      <c r="K155" s="47" t="s">
        <v>500</v>
      </c>
      <c r="L155" s="47">
        <v>15034</v>
      </c>
      <c r="M155" s="47"/>
      <c r="N155" s="47" t="s">
        <v>501</v>
      </c>
      <c r="O155" s="17"/>
      <c r="P155" s="18"/>
      <c r="Q155" s="17"/>
      <c r="R155" s="17"/>
      <c r="S155" s="17"/>
    </row>
    <row r="156" spans="1:35" x14ac:dyDescent="0.25">
      <c r="A156" s="69" t="s">
        <v>233</v>
      </c>
      <c r="B156" s="64"/>
      <c r="C156" s="64"/>
      <c r="D156" s="64"/>
      <c r="E156" s="64"/>
      <c r="F156" s="64"/>
      <c r="G156" s="64"/>
      <c r="H156" s="64"/>
      <c r="I156" s="48"/>
      <c r="J156" s="47"/>
      <c r="K156" s="47"/>
      <c r="L156" s="47"/>
      <c r="M156" s="47"/>
      <c r="N156" s="47"/>
      <c r="O156" s="17"/>
      <c r="P156" s="18"/>
      <c r="Q156" s="17"/>
      <c r="R156" s="17"/>
      <c r="S156" s="17"/>
    </row>
    <row r="157" spans="1:35" ht="27.9" customHeight="1" x14ac:dyDescent="0.25">
      <c r="A157" s="69" t="s">
        <v>502</v>
      </c>
      <c r="B157" s="64"/>
      <c r="C157" s="64"/>
      <c r="D157" s="64"/>
      <c r="E157" s="64"/>
      <c r="F157" s="64"/>
      <c r="G157" s="64"/>
      <c r="H157" s="64"/>
      <c r="I157" s="48">
        <v>232</v>
      </c>
      <c r="J157" s="47">
        <v>192</v>
      </c>
      <c r="K157" s="47" t="s">
        <v>503</v>
      </c>
      <c r="L157" s="47"/>
      <c r="M157" s="47"/>
      <c r="N157" s="47" t="s">
        <v>504</v>
      </c>
      <c r="O157" s="17"/>
      <c r="P157" s="18"/>
      <c r="Q157" s="17"/>
      <c r="R157" s="17"/>
      <c r="S157" s="17"/>
    </row>
    <row r="158" spans="1:35" ht="26.4" x14ac:dyDescent="0.25">
      <c r="A158" s="69" t="s">
        <v>109</v>
      </c>
      <c r="B158" s="64"/>
      <c r="C158" s="64"/>
      <c r="D158" s="64"/>
      <c r="E158" s="64"/>
      <c r="F158" s="64"/>
      <c r="G158" s="64"/>
      <c r="H158" s="64"/>
      <c r="I158" s="48">
        <v>89240</v>
      </c>
      <c r="J158" s="47">
        <v>23454</v>
      </c>
      <c r="K158" s="47" t="s">
        <v>505</v>
      </c>
      <c r="L158" s="47">
        <v>63743</v>
      </c>
      <c r="M158" s="47"/>
      <c r="N158" s="47" t="s">
        <v>501</v>
      </c>
      <c r="O158" s="17"/>
      <c r="P158" s="18"/>
      <c r="Q158" s="17"/>
      <c r="R158" s="17"/>
      <c r="S158" s="17"/>
    </row>
    <row r="159" spans="1:35" x14ac:dyDescent="0.25">
      <c r="A159" s="69" t="s">
        <v>111</v>
      </c>
      <c r="B159" s="64"/>
      <c r="C159" s="64"/>
      <c r="D159" s="64"/>
      <c r="E159" s="64"/>
      <c r="F159" s="64"/>
      <c r="G159" s="64"/>
      <c r="H159" s="64"/>
      <c r="I159" s="48">
        <v>21414</v>
      </c>
      <c r="J159" s="47"/>
      <c r="K159" s="47"/>
      <c r="L159" s="47"/>
      <c r="M159" s="47"/>
      <c r="N159" s="47"/>
      <c r="O159" s="17"/>
      <c r="P159" s="18"/>
      <c r="Q159" s="17"/>
      <c r="R159" s="17"/>
      <c r="S159" s="17"/>
    </row>
    <row r="160" spans="1:35" x14ac:dyDescent="0.25">
      <c r="A160" s="69" t="s">
        <v>112</v>
      </c>
      <c r="B160" s="64"/>
      <c r="C160" s="64"/>
      <c r="D160" s="64"/>
      <c r="E160" s="64"/>
      <c r="F160" s="64"/>
      <c r="G160" s="64"/>
      <c r="H160" s="64"/>
      <c r="I160" s="48">
        <v>11127</v>
      </c>
      <c r="J160" s="47"/>
      <c r="K160" s="47"/>
      <c r="L160" s="47"/>
      <c r="M160" s="47"/>
      <c r="N160" s="47"/>
      <c r="O160" s="17"/>
      <c r="P160" s="18"/>
      <c r="Q160" s="17"/>
      <c r="R160" s="17"/>
      <c r="S160" s="17"/>
    </row>
    <row r="161" spans="1:35" ht="26.4" x14ac:dyDescent="0.25">
      <c r="A161" s="67" t="s">
        <v>506</v>
      </c>
      <c r="B161" s="68"/>
      <c r="C161" s="68"/>
      <c r="D161" s="68"/>
      <c r="E161" s="68"/>
      <c r="F161" s="68"/>
      <c r="G161" s="68"/>
      <c r="H161" s="68"/>
      <c r="I161" s="59">
        <v>121781</v>
      </c>
      <c r="J161" s="60"/>
      <c r="K161" s="60"/>
      <c r="L161" s="60"/>
      <c r="M161" s="60"/>
      <c r="N161" s="60" t="s">
        <v>501</v>
      </c>
      <c r="O161" s="17"/>
      <c r="P161" s="18"/>
      <c r="Q161" s="17"/>
      <c r="R161" s="17"/>
      <c r="S161" s="17"/>
    </row>
    <row r="162" spans="1:35" ht="21" customHeight="1" x14ac:dyDescent="0.25">
      <c r="A162" s="70" t="s">
        <v>507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</row>
    <row r="163" spans="1:35" ht="118.8" x14ac:dyDescent="0.25">
      <c r="A163" s="44">
        <v>110</v>
      </c>
      <c r="B163" s="45" t="s">
        <v>508</v>
      </c>
      <c r="C163" s="46" t="str">
        <f t="shared" ref="C163:C176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Смена частей канализационного стояка над кровлей: патрубка
1 шт.
2196 руб. НР 88%=103%*0,85 от ФОТ (2496 руб.)
1198 руб.СП 48%=60%*0,8 от ФОТ (2496 руб.)
</v>
      </c>
      <c r="D163" s="44">
        <v>6</v>
      </c>
      <c r="E163" s="47" t="s">
        <v>509</v>
      </c>
      <c r="F163" s="47"/>
      <c r="G163" s="47">
        <v>141.68</v>
      </c>
      <c r="H163" s="58" t="s">
        <v>510</v>
      </c>
      <c r="I163" s="48">
        <v>13631</v>
      </c>
      <c r="J163" s="47">
        <v>2496</v>
      </c>
      <c r="K163" s="47"/>
      <c r="L163" s="47" t="str">
        <f>IF(6*141.68=0," ",TEXT(,ROUND((6*141.68*13.1),2)))</f>
        <v>11136,05</v>
      </c>
      <c r="M163" s="47">
        <v>3.15</v>
      </c>
      <c r="N163" s="47">
        <v>18.899999999999999</v>
      </c>
      <c r="O163" s="49"/>
      <c r="P163" s="49"/>
      <c r="Q163" s="49"/>
      <c r="R163" s="49"/>
      <c r="S163" s="49"/>
      <c r="T163" s="50"/>
      <c r="U163" s="50"/>
      <c r="V163" s="50"/>
      <c r="W163" s="50"/>
      <c r="X163" s="50"/>
      <c r="Y163" s="50"/>
      <c r="Z163" s="50"/>
      <c r="AA163" s="50" t="s">
        <v>511</v>
      </c>
      <c r="AB163" s="50" t="s">
        <v>512</v>
      </c>
      <c r="AC163" s="50">
        <v>2196</v>
      </c>
      <c r="AD163" s="50">
        <v>1198</v>
      </c>
      <c r="AE163" s="50"/>
      <c r="AF163" s="50" t="s">
        <v>513</v>
      </c>
      <c r="AG163" s="50" t="s">
        <v>514</v>
      </c>
      <c r="AH163" s="50"/>
      <c r="AI163" s="50">
        <f>2496+0</f>
        <v>2496</v>
      </c>
    </row>
    <row r="164" spans="1:35" ht="66" x14ac:dyDescent="0.25">
      <c r="A164" s="44">
        <v>111</v>
      </c>
      <c r="B164" s="45" t="s">
        <v>515</v>
      </c>
      <c r="C164" s="46" t="str">
        <f t="shared" ca="1" si="5"/>
        <v xml:space="preserve">Трубы чугунные канализационные длиной 2 м, диаметром: 150 мм
м
</v>
      </c>
      <c r="D164" s="44">
        <v>-9.18</v>
      </c>
      <c r="E164" s="47">
        <v>84.75</v>
      </c>
      <c r="F164" s="47"/>
      <c r="G164" s="47">
        <v>84.75</v>
      </c>
      <c r="H164" s="58" t="s">
        <v>516</v>
      </c>
      <c r="I164" s="48">
        <v>-10952</v>
      </c>
      <c r="J164" s="47"/>
      <c r="K164" s="47"/>
      <c r="L164" s="47" t="str">
        <f>IF(-9.18*84.75=0," ",TEXT(,ROUND((-9.18*84.75*14.077),2)))</f>
        <v>-10951,98</v>
      </c>
      <c r="M164" s="47"/>
      <c r="N164" s="47"/>
      <c r="O164" s="49"/>
      <c r="P164" s="49"/>
      <c r="Q164" s="49"/>
      <c r="R164" s="49"/>
      <c r="S164" s="49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 t="s">
        <v>517</v>
      </c>
      <c r="AG164" s="50" t="s">
        <v>391</v>
      </c>
      <c r="AH164" s="50"/>
      <c r="AI164" s="50">
        <f>0+0</f>
        <v>0</v>
      </c>
    </row>
    <row r="165" spans="1:35" ht="90" customHeight="1" x14ac:dyDescent="0.25">
      <c r="A165" s="44">
        <v>112</v>
      </c>
      <c r="B165" s="45" t="s">
        <v>518</v>
      </c>
      <c r="C165" s="46" t="str">
        <f t="shared" ca="1" si="5"/>
        <v xml:space="preserve">Трубопроводы канализации из полиэтиленовых труб высокой плотности с гильзами, диаметром: 150 мм
м
</v>
      </c>
      <c r="D165" s="44">
        <v>24</v>
      </c>
      <c r="E165" s="47">
        <v>109.96</v>
      </c>
      <c r="F165" s="47"/>
      <c r="G165" s="47">
        <v>109.96</v>
      </c>
      <c r="H165" s="58" t="s">
        <v>519</v>
      </c>
      <c r="I165" s="48">
        <v>11754</v>
      </c>
      <c r="J165" s="47"/>
      <c r="K165" s="47"/>
      <c r="L165" s="47" t="str">
        <f>IF(24*109.96=0," ",TEXT(,ROUND((24*109.96*4.454),2)))</f>
        <v>11754,28</v>
      </c>
      <c r="M165" s="47"/>
      <c r="N165" s="47"/>
      <c r="O165" s="49"/>
      <c r="P165" s="49"/>
      <c r="Q165" s="49"/>
      <c r="R165" s="49"/>
      <c r="S165" s="49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 t="s">
        <v>520</v>
      </c>
      <c r="AG165" s="50" t="s">
        <v>391</v>
      </c>
      <c r="AH165" s="50"/>
      <c r="AI165" s="50">
        <f>0+0</f>
        <v>0</v>
      </c>
    </row>
    <row r="166" spans="1:35" ht="132" x14ac:dyDescent="0.25">
      <c r="A166" s="44">
        <v>113</v>
      </c>
      <c r="B166" s="45" t="s">
        <v>445</v>
      </c>
      <c r="C166" s="46" t="str">
        <f t="shared" ca="1" si="5"/>
        <v xml:space="preserve">Установка пароизоляционного слоя из: пленки полиэтиленовой (без стекловолокнистых материалов)
100 м2 поверхности покрытия изоляции
159 руб. НР 77%=100%*(0,85*0,9) от ФОТ (207 руб.)
99 руб.СП 48%=70%*(0,8*0,85) от ФОТ (207 руб.)
</v>
      </c>
      <c r="D166" s="44">
        <v>9.06E-2</v>
      </c>
      <c r="E166" s="47" t="s">
        <v>446</v>
      </c>
      <c r="F166" s="47">
        <v>21.79</v>
      </c>
      <c r="G166" s="47">
        <v>1385.68</v>
      </c>
      <c r="H166" s="58" t="s">
        <v>447</v>
      </c>
      <c r="I166" s="48">
        <v>648</v>
      </c>
      <c r="J166" s="47">
        <v>207</v>
      </c>
      <c r="K166" s="47">
        <v>35</v>
      </c>
      <c r="L166" s="47" t="str">
        <f>IF(0.0906*1385.68=0," ",TEXT(,ROUND((0.0906*1385.68*3.22),2)))</f>
        <v>404,25</v>
      </c>
      <c r="M166" s="47">
        <v>14.36</v>
      </c>
      <c r="N166" s="47">
        <v>1.3</v>
      </c>
      <c r="O166" s="49"/>
      <c r="P166" s="49"/>
      <c r="Q166" s="49"/>
      <c r="R166" s="49"/>
      <c r="S166" s="49"/>
      <c r="T166" s="50"/>
      <c r="U166" s="50"/>
      <c r="V166" s="50"/>
      <c r="W166" s="50"/>
      <c r="X166" s="50"/>
      <c r="Y166" s="50"/>
      <c r="Z166" s="50"/>
      <c r="AA166" s="50" t="s">
        <v>188</v>
      </c>
      <c r="AB166" s="50" t="s">
        <v>32</v>
      </c>
      <c r="AC166" s="50">
        <v>159</v>
      </c>
      <c r="AD166" s="50">
        <v>99</v>
      </c>
      <c r="AE166" s="50"/>
      <c r="AF166" s="50" t="s">
        <v>448</v>
      </c>
      <c r="AG166" s="50" t="s">
        <v>449</v>
      </c>
      <c r="AH166" s="50"/>
      <c r="AI166" s="50">
        <f>207+0</f>
        <v>207</v>
      </c>
    </row>
    <row r="167" spans="1:35" ht="66" x14ac:dyDescent="0.25">
      <c r="A167" s="44">
        <v>114</v>
      </c>
      <c r="B167" s="45" t="s">
        <v>450</v>
      </c>
      <c r="C167" s="46" t="str">
        <f t="shared" ca="1" si="5"/>
        <v xml:space="preserve">Пленка полиэтиленовая толщиной: 0,2-0,5 мм, изоловая
м2
</v>
      </c>
      <c r="D167" s="44">
        <v>-10.42</v>
      </c>
      <c r="E167" s="47">
        <v>4.82</v>
      </c>
      <c r="F167" s="47"/>
      <c r="G167" s="47">
        <v>4.82</v>
      </c>
      <c r="H167" s="58" t="s">
        <v>451</v>
      </c>
      <c r="I167" s="48">
        <v>-82</v>
      </c>
      <c r="J167" s="47"/>
      <c r="K167" s="47"/>
      <c r="L167" s="47" t="str">
        <f>IF(-10.42*4.82=0," ",TEXT(,ROUND((-10.42*4.82*1.634),2)))</f>
        <v>-82,07</v>
      </c>
      <c r="M167" s="47"/>
      <c r="N167" s="47"/>
      <c r="O167" s="49"/>
      <c r="P167" s="49"/>
      <c r="Q167" s="49"/>
      <c r="R167" s="49"/>
      <c r="S167" s="49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 t="s">
        <v>452</v>
      </c>
      <c r="AG167" s="50" t="s">
        <v>133</v>
      </c>
      <c r="AH167" s="50"/>
      <c r="AI167" s="50">
        <f>0+0</f>
        <v>0</v>
      </c>
    </row>
    <row r="168" spans="1:35" ht="52.8" x14ac:dyDescent="0.25">
      <c r="A168" s="44">
        <v>115</v>
      </c>
      <c r="B168" s="45" t="s">
        <v>134</v>
      </c>
      <c r="C168" s="46" t="str">
        <f t="shared" ca="1" si="5"/>
        <v xml:space="preserve">ИЗОСПАН: В
10 м2
</v>
      </c>
      <c r="D168" s="44">
        <v>1.042</v>
      </c>
      <c r="E168" s="47">
        <v>27.5</v>
      </c>
      <c r="F168" s="47"/>
      <c r="G168" s="47">
        <v>27.5</v>
      </c>
      <c r="H168" s="58" t="s">
        <v>135</v>
      </c>
      <c r="I168" s="48">
        <v>169</v>
      </c>
      <c r="J168" s="47"/>
      <c r="K168" s="47"/>
      <c r="L168" s="47" t="str">
        <f>IF(1.042*27.5=0," ",TEXT(,ROUND((1.042*27.5*5.839),2)))</f>
        <v>167,32</v>
      </c>
      <c r="M168" s="47"/>
      <c r="N168" s="47"/>
      <c r="O168" s="49"/>
      <c r="P168" s="49"/>
      <c r="Q168" s="49"/>
      <c r="R168" s="49"/>
      <c r="S168" s="49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 t="s">
        <v>136</v>
      </c>
      <c r="AG168" s="50" t="s">
        <v>137</v>
      </c>
      <c r="AH168" s="50"/>
      <c r="AI168" s="50">
        <f>0+0</f>
        <v>0</v>
      </c>
    </row>
    <row r="169" spans="1:35" ht="145.19999999999999" x14ac:dyDescent="0.25">
      <c r="A169" s="44">
        <v>116</v>
      </c>
      <c r="B169" s="45" t="s">
        <v>521</v>
      </c>
      <c r="C169" s="46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(материалы МАТ=0 к расх.)
784 руб. НР 77%=100%*(0,85*0,9) от ФОТ (1018 руб.)
489 руб.СП 48%=70%*(0,8*0,85) от ФОТ (1018 руб.)
</v>
      </c>
      <c r="D169" s="44">
        <v>0.20399999999999999</v>
      </c>
      <c r="E169" s="47" t="s">
        <v>522</v>
      </c>
      <c r="F169" s="47">
        <v>50.59</v>
      </c>
      <c r="G169" s="47"/>
      <c r="H169" s="58" t="s">
        <v>523</v>
      </c>
      <c r="I169" s="48">
        <v>1156</v>
      </c>
      <c r="J169" s="47">
        <v>1018</v>
      </c>
      <c r="K169" s="47">
        <v>137</v>
      </c>
      <c r="L169" s="47" t="str">
        <f>IF(0.204*0=0," ",TEXT(,ROUND((0.204*0*10.43),2)))</f>
        <v xml:space="preserve"> </v>
      </c>
      <c r="M169" s="47">
        <v>31.98</v>
      </c>
      <c r="N169" s="47">
        <v>6.52</v>
      </c>
      <c r="O169" s="49"/>
      <c r="P169" s="49"/>
      <c r="Q169" s="49"/>
      <c r="R169" s="49"/>
      <c r="S169" s="49"/>
      <c r="T169" s="50"/>
      <c r="U169" s="50"/>
      <c r="V169" s="50"/>
      <c r="W169" s="50"/>
      <c r="X169" s="50"/>
      <c r="Y169" s="50"/>
      <c r="Z169" s="50"/>
      <c r="AA169" s="50" t="s">
        <v>188</v>
      </c>
      <c r="AB169" s="50" t="s">
        <v>32</v>
      </c>
      <c r="AC169" s="50">
        <v>784</v>
      </c>
      <c r="AD169" s="50">
        <v>489</v>
      </c>
      <c r="AE169" s="50" t="s">
        <v>458</v>
      </c>
      <c r="AF169" s="50" t="s">
        <v>524</v>
      </c>
      <c r="AG169" s="50" t="s">
        <v>449</v>
      </c>
      <c r="AH169" s="50"/>
      <c r="AI169" s="50">
        <f>1018+0</f>
        <v>1018</v>
      </c>
    </row>
    <row r="170" spans="1:35" ht="66" x14ac:dyDescent="0.25">
      <c r="A170" s="44">
        <v>117</v>
      </c>
      <c r="B170" s="45" t="s">
        <v>525</v>
      </c>
      <c r="C170" s="46" t="str">
        <f t="shared" ca="1" si="5"/>
        <v xml:space="preserve">Утеплитель URSA: М 15, толщиной 50 мм 94,05/5,63=16,71
м2
</v>
      </c>
      <c r="D170" s="44" t="s">
        <v>526</v>
      </c>
      <c r="E170" s="47">
        <v>16.71</v>
      </c>
      <c r="F170" s="47"/>
      <c r="G170" s="47">
        <v>16.71</v>
      </c>
      <c r="H170" s="58" t="s">
        <v>179</v>
      </c>
      <c r="I170" s="48">
        <v>3952</v>
      </c>
      <c r="J170" s="47"/>
      <c r="K170" s="47"/>
      <c r="L170" s="47" t="str">
        <f>IF(42.024*16.71=0," ",TEXT(,ROUND((42.024*16.71*5.63),2)))</f>
        <v>3953,5</v>
      </c>
      <c r="M170" s="47"/>
      <c r="N170" s="47"/>
      <c r="O170" s="49"/>
      <c r="P170" s="49"/>
      <c r="Q170" s="49"/>
      <c r="R170" s="49"/>
      <c r="S170" s="49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 t="s">
        <v>527</v>
      </c>
      <c r="AG170" s="50" t="s">
        <v>133</v>
      </c>
      <c r="AH170" s="50"/>
      <c r="AI170" s="50">
        <f>0+0</f>
        <v>0</v>
      </c>
    </row>
    <row r="171" spans="1:35" ht="132" x14ac:dyDescent="0.25">
      <c r="A171" s="44">
        <v>118</v>
      </c>
      <c r="B171" s="45" t="s">
        <v>445</v>
      </c>
      <c r="C171" s="46" t="str">
        <f t="shared" ca="1" si="5"/>
        <v xml:space="preserve">Установка пароизоляционного слоя из: пленки полиэтиленовой (без стекловолокнистых материалов)
100 м2 поверхности покрытия изоляции
367 руб. НР 77%=100%*(0,85*0,9) от ФОТ (477 руб.)
229 руб.СП 48%=70%*(0,8*0,85) от ФОТ (477 руб.)
</v>
      </c>
      <c r="D171" s="44">
        <v>0.20349999999999999</v>
      </c>
      <c r="E171" s="47" t="s">
        <v>446</v>
      </c>
      <c r="F171" s="47">
        <v>21.79</v>
      </c>
      <c r="G171" s="47">
        <v>1385.68</v>
      </c>
      <c r="H171" s="58" t="s">
        <v>447</v>
      </c>
      <c r="I171" s="48">
        <v>1443</v>
      </c>
      <c r="J171" s="47">
        <v>477</v>
      </c>
      <c r="K171" s="47">
        <v>58</v>
      </c>
      <c r="L171" s="47" t="str">
        <f>IF(0.2035*1385.68=0," ",TEXT(,ROUND((0.2035*1385.68*3.22),2)))</f>
        <v>907,99</v>
      </c>
      <c r="M171" s="47">
        <v>14.36</v>
      </c>
      <c r="N171" s="47">
        <v>2.92</v>
      </c>
      <c r="O171" s="49"/>
      <c r="P171" s="49"/>
      <c r="Q171" s="49"/>
      <c r="R171" s="49"/>
      <c r="S171" s="49"/>
      <c r="T171" s="50"/>
      <c r="U171" s="50"/>
      <c r="V171" s="50"/>
      <c r="W171" s="50"/>
      <c r="X171" s="50"/>
      <c r="Y171" s="50"/>
      <c r="Z171" s="50"/>
      <c r="AA171" s="50" t="s">
        <v>188</v>
      </c>
      <c r="AB171" s="50" t="s">
        <v>32</v>
      </c>
      <c r="AC171" s="50">
        <v>367</v>
      </c>
      <c r="AD171" s="50">
        <v>229</v>
      </c>
      <c r="AE171" s="50"/>
      <c r="AF171" s="50" t="s">
        <v>448</v>
      </c>
      <c r="AG171" s="50" t="s">
        <v>449</v>
      </c>
      <c r="AH171" s="50"/>
      <c r="AI171" s="50">
        <f>477+0</f>
        <v>477</v>
      </c>
    </row>
    <row r="172" spans="1:35" ht="66" x14ac:dyDescent="0.25">
      <c r="A172" s="44">
        <v>119</v>
      </c>
      <c r="B172" s="45" t="s">
        <v>450</v>
      </c>
      <c r="C172" s="46" t="str">
        <f t="shared" ca="1" si="5"/>
        <v xml:space="preserve">Пленка полиэтиленовая толщиной: 0,2-0,5 мм, изоловая
м2
</v>
      </c>
      <c r="D172" s="44">
        <v>-23.4</v>
      </c>
      <c r="E172" s="47">
        <v>4.82</v>
      </c>
      <c r="F172" s="47"/>
      <c r="G172" s="47">
        <v>4.82</v>
      </c>
      <c r="H172" s="58" t="s">
        <v>451</v>
      </c>
      <c r="I172" s="48">
        <v>-185</v>
      </c>
      <c r="J172" s="47"/>
      <c r="K172" s="47"/>
      <c r="L172" s="47" t="str">
        <f>IF(-23.4*4.82=0," ",TEXT(,ROUND((-23.4*4.82*1.634),2)))</f>
        <v>-184,3</v>
      </c>
      <c r="M172" s="47"/>
      <c r="N172" s="47"/>
      <c r="O172" s="49"/>
      <c r="P172" s="49"/>
      <c r="Q172" s="49"/>
      <c r="R172" s="49"/>
      <c r="S172" s="49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 t="s">
        <v>452</v>
      </c>
      <c r="AG172" s="50" t="s">
        <v>133</v>
      </c>
      <c r="AH172" s="50"/>
      <c r="AI172" s="50">
        <f>0+0</f>
        <v>0</v>
      </c>
    </row>
    <row r="173" spans="1:35" ht="52.8" x14ac:dyDescent="0.25">
      <c r="A173" s="44">
        <v>120</v>
      </c>
      <c r="B173" s="45" t="s">
        <v>286</v>
      </c>
      <c r="C173" s="46" t="str">
        <f t="shared" ca="1" si="5"/>
        <v xml:space="preserve">ИЗОСПАН: D
10 м2
</v>
      </c>
      <c r="D173" s="44">
        <v>2.2999999999999998</v>
      </c>
      <c r="E173" s="47">
        <v>37.5</v>
      </c>
      <c r="F173" s="47"/>
      <c r="G173" s="47">
        <v>37.5</v>
      </c>
      <c r="H173" s="58" t="s">
        <v>287</v>
      </c>
      <c r="I173" s="48">
        <v>384</v>
      </c>
      <c r="J173" s="47"/>
      <c r="K173" s="47"/>
      <c r="L173" s="47" t="str">
        <f>IF(2.3*37.5=0," ",TEXT(,ROUND((2.3*37.5*4.463),2)))</f>
        <v>384,93</v>
      </c>
      <c r="M173" s="47"/>
      <c r="N173" s="47"/>
      <c r="O173" s="49"/>
      <c r="P173" s="49"/>
      <c r="Q173" s="49"/>
      <c r="R173" s="49"/>
      <c r="S173" s="49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 t="s">
        <v>288</v>
      </c>
      <c r="AG173" s="50" t="s">
        <v>137</v>
      </c>
      <c r="AH173" s="50"/>
      <c r="AI173" s="50">
        <f>0+0</f>
        <v>0</v>
      </c>
    </row>
    <row r="174" spans="1:35" ht="132" x14ac:dyDescent="0.25">
      <c r="A174" s="44">
        <v>121</v>
      </c>
      <c r="B174" s="45" t="s">
        <v>528</v>
      </c>
      <c r="C174" s="46" t="str">
        <f t="shared" ca="1" si="5"/>
        <v xml:space="preserve">Покрытие изоляции плоских (криволинейных) поверхностей листовым металлом с заготовкой покрытия
100 м2 поверхности покрытия изоляции
4824 руб. НР 77%=100%*(0,85*0,9) от ФОТ (6265 руб.)
3007 руб.СП 48%=70%*(0,8*0,85) от ФОТ (6265 руб.)
</v>
      </c>
      <c r="D174" s="44">
        <v>0.27100000000000002</v>
      </c>
      <c r="E174" s="47" t="s">
        <v>529</v>
      </c>
      <c r="F174" s="47">
        <v>578.44000000000005</v>
      </c>
      <c r="G174" s="47">
        <v>8515.41</v>
      </c>
      <c r="H174" s="58" t="s">
        <v>530</v>
      </c>
      <c r="I174" s="48">
        <v>15615</v>
      </c>
      <c r="J174" s="47">
        <v>6265</v>
      </c>
      <c r="K174" s="47">
        <v>1595</v>
      </c>
      <c r="L174" s="47" t="str">
        <f>IF(0.271*8515.41=0," ",TEXT(,ROUND((0.271*8515.41*3.36),2)))</f>
        <v>7753,79</v>
      </c>
      <c r="M174" s="47">
        <v>139.55000000000001</v>
      </c>
      <c r="N174" s="47">
        <v>37.82</v>
      </c>
      <c r="O174" s="49"/>
      <c r="P174" s="49"/>
      <c r="Q174" s="49"/>
      <c r="R174" s="49"/>
      <c r="S174" s="49"/>
      <c r="T174" s="50"/>
      <c r="U174" s="50"/>
      <c r="V174" s="50"/>
      <c r="W174" s="50"/>
      <c r="X174" s="50"/>
      <c r="Y174" s="50"/>
      <c r="Z174" s="50"/>
      <c r="AA174" s="50" t="s">
        <v>188</v>
      </c>
      <c r="AB174" s="50" t="s">
        <v>32</v>
      </c>
      <c r="AC174" s="50">
        <v>4824</v>
      </c>
      <c r="AD174" s="50">
        <v>3007</v>
      </c>
      <c r="AE174" s="50"/>
      <c r="AF174" s="50" t="s">
        <v>531</v>
      </c>
      <c r="AG174" s="50" t="s">
        <v>449</v>
      </c>
      <c r="AH174" s="50"/>
      <c r="AI174" s="50">
        <f>6265+0</f>
        <v>6265</v>
      </c>
    </row>
    <row r="175" spans="1:35" ht="66" x14ac:dyDescent="0.25">
      <c r="A175" s="44">
        <v>122</v>
      </c>
      <c r="B175" s="45" t="s">
        <v>532</v>
      </c>
      <c r="C175" s="46" t="str">
        <f t="shared" ca="1" si="5"/>
        <v xml:space="preserve">Сталь листовая оцинкованная толщиной листа: 0,8 мм
т
</v>
      </c>
      <c r="D175" s="44">
        <v>-0.2084</v>
      </c>
      <c r="E175" s="47">
        <v>11000</v>
      </c>
      <c r="F175" s="47"/>
      <c r="G175" s="47">
        <v>11000</v>
      </c>
      <c r="H175" s="58" t="s">
        <v>533</v>
      </c>
      <c r="I175" s="48">
        <v>-7717</v>
      </c>
      <c r="J175" s="47"/>
      <c r="K175" s="47"/>
      <c r="L175" s="47" t="str">
        <f>IF(-0.2084*11000=0," ",TEXT(,ROUND((-0.2084*11000*3.367),2)))</f>
        <v>-7718,51</v>
      </c>
      <c r="M175" s="47"/>
      <c r="N175" s="47"/>
      <c r="O175" s="49"/>
      <c r="P175" s="49"/>
      <c r="Q175" s="49"/>
      <c r="R175" s="49"/>
      <c r="S175" s="49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 t="s">
        <v>534</v>
      </c>
      <c r="AG175" s="50" t="s">
        <v>158</v>
      </c>
      <c r="AH175" s="50"/>
      <c r="AI175" s="50">
        <f>0+0</f>
        <v>0</v>
      </c>
    </row>
    <row r="176" spans="1:35" ht="66" x14ac:dyDescent="0.25">
      <c r="A176" s="52">
        <v>123</v>
      </c>
      <c r="B176" s="53" t="s">
        <v>339</v>
      </c>
      <c r="C176" s="54" t="str">
        <f t="shared" ca="1" si="5"/>
        <v xml:space="preserve">Сталь листовая оцинкованная толщиной листа: 0,55 мм
т
</v>
      </c>
      <c r="D176" s="52">
        <v>0.14299999999999999</v>
      </c>
      <c r="E176" s="55">
        <v>10484</v>
      </c>
      <c r="F176" s="55"/>
      <c r="G176" s="55">
        <v>10484</v>
      </c>
      <c r="H176" s="56" t="s">
        <v>341</v>
      </c>
      <c r="I176" s="57">
        <v>5528</v>
      </c>
      <c r="J176" s="55"/>
      <c r="K176" s="55"/>
      <c r="L176" s="55" t="str">
        <f>IF(0.143*10484=0," ",TEXT(,ROUND((0.143*10484*3.688),2)))</f>
        <v>5529,09</v>
      </c>
      <c r="M176" s="55"/>
      <c r="N176" s="55"/>
      <c r="O176" s="49"/>
      <c r="P176" s="49"/>
      <c r="Q176" s="49"/>
      <c r="R176" s="49"/>
      <c r="S176" s="49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 t="s">
        <v>342</v>
      </c>
      <c r="AG176" s="50" t="s">
        <v>158</v>
      </c>
      <c r="AH176" s="50"/>
      <c r="AI176" s="50">
        <f>0+0</f>
        <v>0</v>
      </c>
    </row>
    <row r="177" spans="1:35" x14ac:dyDescent="0.25">
      <c r="A177" s="69" t="s">
        <v>106</v>
      </c>
      <c r="B177" s="64"/>
      <c r="C177" s="64"/>
      <c r="D177" s="64"/>
      <c r="E177" s="64"/>
      <c r="F177" s="64"/>
      <c r="G177" s="64"/>
      <c r="H177" s="64"/>
      <c r="I177" s="48">
        <v>6054</v>
      </c>
      <c r="J177" s="47">
        <v>593</v>
      </c>
      <c r="K177" s="47">
        <v>173</v>
      </c>
      <c r="L177" s="47">
        <v>5288</v>
      </c>
      <c r="M177" s="47"/>
      <c r="N177" s="47">
        <v>67.459999999999994</v>
      </c>
      <c r="O177" s="17"/>
      <c r="P177" s="18"/>
      <c r="Q177" s="17"/>
      <c r="R177" s="17"/>
      <c r="S177" s="17"/>
    </row>
    <row r="178" spans="1:35" x14ac:dyDescent="0.25">
      <c r="A178" s="69" t="s">
        <v>230</v>
      </c>
      <c r="B178" s="64"/>
      <c r="C178" s="64"/>
      <c r="D178" s="64"/>
      <c r="E178" s="64"/>
      <c r="F178" s="64"/>
      <c r="G178" s="64"/>
      <c r="H178" s="64"/>
      <c r="I178" s="48">
        <v>6164</v>
      </c>
      <c r="J178" s="47">
        <v>658</v>
      </c>
      <c r="K178" s="47">
        <v>217</v>
      </c>
      <c r="L178" s="47">
        <v>5288</v>
      </c>
      <c r="M178" s="47"/>
      <c r="N178" s="47">
        <v>74.739999999999995</v>
      </c>
      <c r="O178" s="17"/>
      <c r="P178" s="18"/>
      <c r="Q178" s="17"/>
      <c r="R178" s="17"/>
      <c r="S178" s="17"/>
    </row>
    <row r="179" spans="1:35" x14ac:dyDescent="0.25">
      <c r="A179" s="69" t="s">
        <v>233</v>
      </c>
      <c r="B179" s="64"/>
      <c r="C179" s="64"/>
      <c r="D179" s="64"/>
      <c r="E179" s="64"/>
      <c r="F179" s="64"/>
      <c r="G179" s="64"/>
      <c r="H179" s="64"/>
      <c r="I179" s="48"/>
      <c r="J179" s="47"/>
      <c r="K179" s="47"/>
      <c r="L179" s="47"/>
      <c r="M179" s="47"/>
      <c r="N179" s="47"/>
      <c r="O179" s="17"/>
      <c r="P179" s="18"/>
      <c r="Q179" s="17"/>
      <c r="R179" s="17"/>
      <c r="S179" s="17"/>
    </row>
    <row r="180" spans="1:35" ht="27.9" customHeight="1" x14ac:dyDescent="0.25">
      <c r="A180" s="69" t="s">
        <v>535</v>
      </c>
      <c r="B180" s="64"/>
      <c r="C180" s="64"/>
      <c r="D180" s="64"/>
      <c r="E180" s="64"/>
      <c r="F180" s="64"/>
      <c r="G180" s="64"/>
      <c r="H180" s="64"/>
      <c r="I180" s="48">
        <v>110</v>
      </c>
      <c r="J180" s="47">
        <v>65</v>
      </c>
      <c r="K180" s="47">
        <v>43</v>
      </c>
      <c r="L180" s="47"/>
      <c r="M180" s="47"/>
      <c r="N180" s="47">
        <v>7.2839999999999998</v>
      </c>
      <c r="O180" s="17"/>
      <c r="P180" s="18"/>
      <c r="Q180" s="17"/>
      <c r="R180" s="17"/>
      <c r="S180" s="17"/>
    </row>
    <row r="181" spans="1:35" x14ac:dyDescent="0.25">
      <c r="A181" s="69" t="s">
        <v>109</v>
      </c>
      <c r="B181" s="64"/>
      <c r="C181" s="64"/>
      <c r="D181" s="64"/>
      <c r="E181" s="64"/>
      <c r="F181" s="64"/>
      <c r="G181" s="64"/>
      <c r="H181" s="64"/>
      <c r="I181" s="48">
        <v>35345</v>
      </c>
      <c r="J181" s="47">
        <v>10463</v>
      </c>
      <c r="K181" s="47">
        <v>1825</v>
      </c>
      <c r="L181" s="47">
        <v>23056</v>
      </c>
      <c r="M181" s="47"/>
      <c r="N181" s="47">
        <v>74.739999999999995</v>
      </c>
      <c r="O181" s="17"/>
      <c r="P181" s="18"/>
      <c r="Q181" s="17"/>
      <c r="R181" s="17"/>
      <c r="S181" s="17"/>
    </row>
    <row r="182" spans="1:35" x14ac:dyDescent="0.25">
      <c r="A182" s="69" t="s">
        <v>111</v>
      </c>
      <c r="B182" s="64"/>
      <c r="C182" s="64"/>
      <c r="D182" s="64"/>
      <c r="E182" s="64"/>
      <c r="F182" s="64"/>
      <c r="G182" s="64"/>
      <c r="H182" s="64"/>
      <c r="I182" s="48">
        <v>8331</v>
      </c>
      <c r="J182" s="47"/>
      <c r="K182" s="47"/>
      <c r="L182" s="47"/>
      <c r="M182" s="47"/>
      <c r="N182" s="47"/>
      <c r="O182" s="17"/>
      <c r="P182" s="18"/>
      <c r="Q182" s="17"/>
      <c r="R182" s="17"/>
      <c r="S182" s="17"/>
    </row>
    <row r="183" spans="1:35" x14ac:dyDescent="0.25">
      <c r="A183" s="69" t="s">
        <v>112</v>
      </c>
      <c r="B183" s="64"/>
      <c r="C183" s="64"/>
      <c r="D183" s="64"/>
      <c r="E183" s="64"/>
      <c r="F183" s="64"/>
      <c r="G183" s="64"/>
      <c r="H183" s="64"/>
      <c r="I183" s="48">
        <v>5022</v>
      </c>
      <c r="J183" s="47"/>
      <c r="K183" s="47"/>
      <c r="L183" s="47"/>
      <c r="M183" s="47"/>
      <c r="N183" s="47"/>
      <c r="O183" s="17"/>
      <c r="P183" s="18"/>
      <c r="Q183" s="17"/>
      <c r="R183" s="17"/>
      <c r="S183" s="17"/>
    </row>
    <row r="184" spans="1:35" x14ac:dyDescent="0.25">
      <c r="A184" s="67" t="s">
        <v>536</v>
      </c>
      <c r="B184" s="68"/>
      <c r="C184" s="68"/>
      <c r="D184" s="68"/>
      <c r="E184" s="68"/>
      <c r="F184" s="68"/>
      <c r="G184" s="68"/>
      <c r="H184" s="68"/>
      <c r="I184" s="59">
        <v>48698</v>
      </c>
      <c r="J184" s="60"/>
      <c r="K184" s="60"/>
      <c r="L184" s="60"/>
      <c r="M184" s="60"/>
      <c r="N184" s="60">
        <v>74.739999999999995</v>
      </c>
      <c r="O184" s="17"/>
      <c r="P184" s="18"/>
      <c r="Q184" s="17"/>
      <c r="R184" s="17"/>
      <c r="S184" s="17"/>
    </row>
    <row r="185" spans="1:35" ht="21" customHeight="1" x14ac:dyDescent="0.25">
      <c r="A185" s="70" t="s">
        <v>537</v>
      </c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</row>
    <row r="186" spans="1:35" ht="132" x14ac:dyDescent="0.25">
      <c r="A186" s="44">
        <v>124</v>
      </c>
      <c r="B186" s="45" t="s">
        <v>538</v>
      </c>
      <c r="C186" s="46" t="str">
        <f t="shared" ref="C186:C202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1275 руб. НР 81%=95%*0,85 от ФОТ (1574 руб.)
818 руб.СП 52%=65%*0,8 от ФОТ (1574 руб.)
</v>
      </c>
      <c r="D186" s="44">
        <v>0.51700000000000002</v>
      </c>
      <c r="E186" s="47" t="s">
        <v>539</v>
      </c>
      <c r="F186" s="47" t="s">
        <v>540</v>
      </c>
      <c r="G186" s="47">
        <v>301.01</v>
      </c>
      <c r="H186" s="58" t="s">
        <v>541</v>
      </c>
      <c r="I186" s="48">
        <v>2328</v>
      </c>
      <c r="J186" s="47">
        <v>1558</v>
      </c>
      <c r="K186" s="47" t="s">
        <v>542</v>
      </c>
      <c r="L186" s="47" t="str">
        <f>IF(0.517*301.01=0," ",TEXT(,ROUND((0.517*301.01*3.45),2)))</f>
        <v>536,9</v>
      </c>
      <c r="M186" s="47" t="s">
        <v>543</v>
      </c>
      <c r="N186" s="47" t="s">
        <v>544</v>
      </c>
      <c r="O186" s="49"/>
      <c r="P186" s="49"/>
      <c r="Q186" s="49"/>
      <c r="R186" s="49"/>
      <c r="S186" s="49"/>
      <c r="T186" s="50"/>
      <c r="U186" s="50"/>
      <c r="V186" s="50"/>
      <c r="W186" s="50"/>
      <c r="X186" s="50"/>
      <c r="Y186" s="50"/>
      <c r="Z186" s="50"/>
      <c r="AA186" s="50" t="s">
        <v>545</v>
      </c>
      <c r="AB186" s="50" t="s">
        <v>39</v>
      </c>
      <c r="AC186" s="50">
        <v>1275</v>
      </c>
      <c r="AD186" s="50">
        <v>818</v>
      </c>
      <c r="AE186" s="50"/>
      <c r="AF186" s="50" t="s">
        <v>546</v>
      </c>
      <c r="AG186" s="50" t="s">
        <v>547</v>
      </c>
      <c r="AH186" s="50"/>
      <c r="AI186" s="50">
        <f>1558+16</f>
        <v>1574</v>
      </c>
    </row>
    <row r="187" spans="1:35" ht="132" x14ac:dyDescent="0.25">
      <c r="A187" s="44">
        <v>125</v>
      </c>
      <c r="B187" s="45" t="s">
        <v>538</v>
      </c>
      <c r="C187" s="46" t="str">
        <f t="shared" ca="1" si="6"/>
        <v xml:space="preserve">Проводник заземляющий открыто по строительным основаниям: из круглой стали диаметром 8 мм
100 м
3117 руб. НР 81%=95%*0,85 от ФОТ (3848 руб.)
2001 руб.СП 52%=65%*0,8 от ФОТ (3848 руб.)
</v>
      </c>
      <c r="D187" s="44">
        <v>1.27</v>
      </c>
      <c r="E187" s="47" t="s">
        <v>539</v>
      </c>
      <c r="F187" s="47" t="s">
        <v>540</v>
      </c>
      <c r="G187" s="47">
        <v>301.01</v>
      </c>
      <c r="H187" s="58" t="s">
        <v>541</v>
      </c>
      <c r="I187" s="48">
        <v>5702</v>
      </c>
      <c r="J187" s="47">
        <v>3816</v>
      </c>
      <c r="K187" s="47" t="s">
        <v>548</v>
      </c>
      <c r="L187" s="47" t="str">
        <f>IF(1.27*301.01=0," ",TEXT(,ROUND((1.27*301.01*3.45),2)))</f>
        <v>1318,88</v>
      </c>
      <c r="M187" s="47" t="s">
        <v>543</v>
      </c>
      <c r="N187" s="47" t="s">
        <v>549</v>
      </c>
      <c r="O187" s="49"/>
      <c r="P187" s="49"/>
      <c r="Q187" s="49"/>
      <c r="R187" s="49"/>
      <c r="S187" s="49"/>
      <c r="T187" s="50"/>
      <c r="U187" s="50"/>
      <c r="V187" s="50"/>
      <c r="W187" s="50"/>
      <c r="X187" s="50"/>
      <c r="Y187" s="50"/>
      <c r="Z187" s="50"/>
      <c r="AA187" s="50" t="s">
        <v>545</v>
      </c>
      <c r="AB187" s="50" t="s">
        <v>39</v>
      </c>
      <c r="AC187" s="50">
        <v>3117</v>
      </c>
      <c r="AD187" s="50">
        <v>2001</v>
      </c>
      <c r="AE187" s="50"/>
      <c r="AF187" s="50" t="s">
        <v>546</v>
      </c>
      <c r="AG187" s="50" t="s">
        <v>547</v>
      </c>
      <c r="AH187" s="50"/>
      <c r="AI187" s="50">
        <f>3816+32</f>
        <v>3848</v>
      </c>
    </row>
    <row r="188" spans="1:35" ht="79.2" x14ac:dyDescent="0.25">
      <c r="A188" s="44">
        <v>126</v>
      </c>
      <c r="B188" s="45" t="s">
        <v>550</v>
      </c>
      <c r="C188" s="46" t="str">
        <f t="shared" ca="1" si="6"/>
        <v xml:space="preserve">Сталь листовая углеродистая обыкновенного качества марки ВСт3пс5 толщиной: 4-6 мм
т
</v>
      </c>
      <c r="D188" s="44" t="s">
        <v>551</v>
      </c>
      <c r="E188" s="47">
        <v>5763</v>
      </c>
      <c r="F188" s="47"/>
      <c r="G188" s="47">
        <v>5763</v>
      </c>
      <c r="H188" s="58" t="s">
        <v>552</v>
      </c>
      <c r="I188" s="48">
        <v>617</v>
      </c>
      <c r="J188" s="47"/>
      <c r="K188" s="47"/>
      <c r="L188" s="47" t="str">
        <f>IF(0.0238*5763=0," ",TEXT(,ROUND((0.0238*5763*4.507),2)))</f>
        <v>618,18</v>
      </c>
      <c r="M188" s="47"/>
      <c r="N188" s="47"/>
      <c r="O188" s="49"/>
      <c r="P188" s="49"/>
      <c r="Q188" s="49"/>
      <c r="R188" s="49"/>
      <c r="S188" s="49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 t="s">
        <v>553</v>
      </c>
      <c r="AG188" s="50" t="s">
        <v>158</v>
      </c>
      <c r="AH188" s="50"/>
      <c r="AI188" s="50">
        <f>0+0</f>
        <v>0</v>
      </c>
    </row>
    <row r="189" spans="1:35" ht="79.2" x14ac:dyDescent="0.25">
      <c r="A189" s="44">
        <v>127</v>
      </c>
      <c r="B189" s="45" t="s">
        <v>554</v>
      </c>
      <c r="C189" s="46" t="str">
        <f t="shared" ca="1" si="6"/>
        <v xml:space="preserve">Сталь круглая углеродистая обыкновенного качества марки ВСт3пс5-1 диаметром: 8 мм
т
</v>
      </c>
      <c r="D189" s="44" t="s">
        <v>555</v>
      </c>
      <c r="E189" s="47">
        <v>5230.01</v>
      </c>
      <c r="F189" s="47"/>
      <c r="G189" s="47">
        <v>5230.01</v>
      </c>
      <c r="H189" s="58" t="s">
        <v>556</v>
      </c>
      <c r="I189" s="48">
        <v>1408</v>
      </c>
      <c r="J189" s="47"/>
      <c r="K189" s="47"/>
      <c r="L189" s="47" t="str">
        <f>IF(0.06873*5230.01=0," ",TEXT(,ROUND((0.06873*5230.01*3.922),2)))</f>
        <v>1409,8</v>
      </c>
      <c r="M189" s="47"/>
      <c r="N189" s="47"/>
      <c r="O189" s="49"/>
      <c r="P189" s="49"/>
      <c r="Q189" s="49"/>
      <c r="R189" s="49"/>
      <c r="S189" s="49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 t="s">
        <v>557</v>
      </c>
      <c r="AG189" s="50" t="s">
        <v>158</v>
      </c>
      <c r="AH189" s="50"/>
      <c r="AI189" s="50">
        <f>0+0</f>
        <v>0</v>
      </c>
    </row>
    <row r="190" spans="1:35" ht="118.8" x14ac:dyDescent="0.25">
      <c r="A190" s="44">
        <v>128</v>
      </c>
      <c r="B190" s="45" t="s">
        <v>558</v>
      </c>
      <c r="C190" s="46" t="str">
        <f t="shared" ca="1" si="6"/>
        <v xml:space="preserve">Заземлитель вертикальный из круглой стали диаметром: 16 мм
10 шт.
515 руб. НР 81%=95%*0,85 от ФОТ (636 руб.)
331 руб.СП 52%=65%*0,8 от ФОТ (636 руб.)
</v>
      </c>
      <c r="D190" s="44">
        <v>0.5</v>
      </c>
      <c r="E190" s="47" t="s">
        <v>559</v>
      </c>
      <c r="F190" s="47" t="s">
        <v>560</v>
      </c>
      <c r="G190" s="47">
        <v>25.46</v>
      </c>
      <c r="H190" s="58" t="s">
        <v>561</v>
      </c>
      <c r="I190" s="48">
        <v>937</v>
      </c>
      <c r="J190" s="47">
        <v>620</v>
      </c>
      <c r="K190" s="47" t="s">
        <v>562</v>
      </c>
      <c r="L190" s="47" t="str">
        <f>IF(0.5*25.46=0," ",TEXT(,ROUND((0.5*25.46*6.35),2)))</f>
        <v>80,84</v>
      </c>
      <c r="M190" s="47" t="s">
        <v>563</v>
      </c>
      <c r="N190" s="47" t="s">
        <v>564</v>
      </c>
      <c r="O190" s="49"/>
      <c r="P190" s="49"/>
      <c r="Q190" s="49"/>
      <c r="R190" s="49"/>
      <c r="S190" s="49"/>
      <c r="T190" s="50"/>
      <c r="U190" s="50"/>
      <c r="V190" s="50"/>
      <c r="W190" s="50"/>
      <c r="X190" s="50"/>
      <c r="Y190" s="50"/>
      <c r="Z190" s="50"/>
      <c r="AA190" s="50" t="s">
        <v>545</v>
      </c>
      <c r="AB190" s="50" t="s">
        <v>39</v>
      </c>
      <c r="AC190" s="50">
        <v>515</v>
      </c>
      <c r="AD190" s="50">
        <v>331</v>
      </c>
      <c r="AE190" s="50"/>
      <c r="AF190" s="50" t="s">
        <v>565</v>
      </c>
      <c r="AG190" s="50" t="s">
        <v>566</v>
      </c>
      <c r="AH190" s="50"/>
      <c r="AI190" s="50">
        <f>620+16</f>
        <v>636</v>
      </c>
    </row>
    <row r="191" spans="1:35" ht="79.2" x14ac:dyDescent="0.25">
      <c r="A191" s="44">
        <v>129</v>
      </c>
      <c r="B191" s="45" t="s">
        <v>567</v>
      </c>
      <c r="C191" s="46" t="str">
        <f t="shared" ca="1" si="6"/>
        <v xml:space="preserve">Сталь круглая углеродистая обыкновенного качества марки ВСт3пс5-1 диаметром: 16 мм
т
</v>
      </c>
      <c r="D191" s="44" t="s">
        <v>568</v>
      </c>
      <c r="E191" s="47">
        <v>5230.01</v>
      </c>
      <c r="F191" s="47"/>
      <c r="G191" s="47">
        <v>5230.01</v>
      </c>
      <c r="H191" s="58" t="s">
        <v>569</v>
      </c>
      <c r="I191" s="48">
        <v>805</v>
      </c>
      <c r="J191" s="47"/>
      <c r="K191" s="47"/>
      <c r="L191" s="47" t="str">
        <f>IF(0.0395*5230.01=0," ",TEXT(,ROUND((0.0395*5230.01*3.889),2)))</f>
        <v>803,41</v>
      </c>
      <c r="M191" s="47"/>
      <c r="N191" s="47"/>
      <c r="O191" s="49"/>
      <c r="P191" s="49"/>
      <c r="Q191" s="49"/>
      <c r="R191" s="49"/>
      <c r="S191" s="49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 t="s">
        <v>570</v>
      </c>
      <c r="AG191" s="50" t="s">
        <v>158</v>
      </c>
      <c r="AH191" s="50"/>
      <c r="AI191" s="50">
        <f>0+0</f>
        <v>0</v>
      </c>
    </row>
    <row r="192" spans="1:35" ht="132" x14ac:dyDescent="0.25">
      <c r="A192" s="44">
        <v>130</v>
      </c>
      <c r="B192" s="45" t="s">
        <v>571</v>
      </c>
      <c r="C192" s="46" t="str">
        <f t="shared" ca="1" si="6"/>
        <v xml:space="preserve">Проводник заземляющий открыто по строительным основаниям: из полосовой стали сечением 160 мм2
100 м
168 руб. НР 81%=95%*0,85 от ФОТ (207 руб.)
108 руб.СП 52%=65%*0,8 от ФОТ (207 руб.)
</v>
      </c>
      <c r="D192" s="44">
        <v>6.5000000000000002E-2</v>
      </c>
      <c r="E192" s="47" t="s">
        <v>572</v>
      </c>
      <c r="F192" s="47" t="s">
        <v>573</v>
      </c>
      <c r="G192" s="47">
        <v>106.57</v>
      </c>
      <c r="H192" s="58" t="s">
        <v>541</v>
      </c>
      <c r="I192" s="48">
        <v>274</v>
      </c>
      <c r="J192" s="47">
        <v>207</v>
      </c>
      <c r="K192" s="47">
        <v>43</v>
      </c>
      <c r="L192" s="47" t="str">
        <f>IF(0.065*106.57=0," ",TEXT(,ROUND((0.065*106.57*3.45),2)))</f>
        <v>23,9</v>
      </c>
      <c r="M192" s="47" t="s">
        <v>574</v>
      </c>
      <c r="N192" s="47" t="s">
        <v>575</v>
      </c>
      <c r="O192" s="49"/>
      <c r="P192" s="49"/>
      <c r="Q192" s="49"/>
      <c r="R192" s="49"/>
      <c r="S192" s="49"/>
      <c r="T192" s="50"/>
      <c r="U192" s="50"/>
      <c r="V192" s="50"/>
      <c r="W192" s="50"/>
      <c r="X192" s="50"/>
      <c r="Y192" s="50"/>
      <c r="Z192" s="50"/>
      <c r="AA192" s="50" t="s">
        <v>545</v>
      </c>
      <c r="AB192" s="50" t="s">
        <v>39</v>
      </c>
      <c r="AC192" s="50">
        <v>168</v>
      </c>
      <c r="AD192" s="50">
        <v>108</v>
      </c>
      <c r="AE192" s="50"/>
      <c r="AF192" s="50" t="s">
        <v>576</v>
      </c>
      <c r="AG192" s="50" t="s">
        <v>547</v>
      </c>
      <c r="AH192" s="50"/>
      <c r="AI192" s="50">
        <f>207+0</f>
        <v>207</v>
      </c>
    </row>
    <row r="193" spans="1:35" ht="79.2" x14ac:dyDescent="0.25">
      <c r="A193" s="44">
        <v>131</v>
      </c>
      <c r="B193" s="45" t="s">
        <v>550</v>
      </c>
      <c r="C193" s="46" t="str">
        <f t="shared" ca="1" si="6"/>
        <v xml:space="preserve">Сталь листовая углеродистая обыкновенного качества марки ВСт3пс5 толщиной: 4-6 мм
т
</v>
      </c>
      <c r="D193" s="44">
        <v>1.0149999999999999E-2</v>
      </c>
      <c r="E193" s="47">
        <v>5763</v>
      </c>
      <c r="F193" s="47"/>
      <c r="G193" s="47">
        <v>5763</v>
      </c>
      <c r="H193" s="58" t="s">
        <v>552</v>
      </c>
      <c r="I193" s="48">
        <v>261</v>
      </c>
      <c r="J193" s="47"/>
      <c r="K193" s="47"/>
      <c r="L193" s="47" t="str">
        <f>IF(0.01015*5763=0," ",TEXT(,ROUND((0.01015*5763*4.507),2)))</f>
        <v>263,63</v>
      </c>
      <c r="M193" s="47"/>
      <c r="N193" s="47"/>
      <c r="O193" s="49"/>
      <c r="P193" s="49"/>
      <c r="Q193" s="49"/>
      <c r="R193" s="49"/>
      <c r="S193" s="4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 t="s">
        <v>553</v>
      </c>
      <c r="AG193" s="50" t="s">
        <v>158</v>
      </c>
      <c r="AH193" s="50"/>
      <c r="AI193" s="50">
        <f>0+0</f>
        <v>0</v>
      </c>
    </row>
    <row r="194" spans="1:35" ht="132" x14ac:dyDescent="0.25">
      <c r="A194" s="44">
        <v>132</v>
      </c>
      <c r="B194" s="45" t="s">
        <v>577</v>
      </c>
      <c r="C194" s="46" t="str">
        <f t="shared" ca="1" si="6"/>
        <v xml:space="preserve">Проводник заземляющий открыто по строительным основаниям: из круглой стали диаметром 12 мм
100 м
2756 руб. НР 81%=95%*0,85 от ФОТ (3403 руб.)
1770 руб.СП 52%=65%*0,8 от ФОТ (3403 руб.)
</v>
      </c>
      <c r="D194" s="44">
        <v>1.056</v>
      </c>
      <c r="E194" s="47" t="s">
        <v>578</v>
      </c>
      <c r="F194" s="47" t="s">
        <v>579</v>
      </c>
      <c r="G194" s="47">
        <v>105.21</v>
      </c>
      <c r="H194" s="58" t="s">
        <v>541</v>
      </c>
      <c r="I194" s="48">
        <v>4367</v>
      </c>
      <c r="J194" s="47">
        <v>3355</v>
      </c>
      <c r="K194" s="47" t="s">
        <v>580</v>
      </c>
      <c r="L194" s="47" t="str">
        <f>IF(1.056*105.21=0," ",TEXT(,ROUND((1.056*105.21*3.45),2)))</f>
        <v>383,3</v>
      </c>
      <c r="M194" s="47" t="s">
        <v>581</v>
      </c>
      <c r="N194" s="47" t="s">
        <v>582</v>
      </c>
      <c r="O194" s="49"/>
      <c r="P194" s="49"/>
      <c r="Q194" s="49"/>
      <c r="R194" s="49"/>
      <c r="S194" s="49"/>
      <c r="T194" s="50"/>
      <c r="U194" s="50"/>
      <c r="V194" s="50"/>
      <c r="W194" s="50"/>
      <c r="X194" s="50"/>
      <c r="Y194" s="50"/>
      <c r="Z194" s="50"/>
      <c r="AA194" s="50" t="s">
        <v>545</v>
      </c>
      <c r="AB194" s="50" t="s">
        <v>39</v>
      </c>
      <c r="AC194" s="50">
        <v>2756</v>
      </c>
      <c r="AD194" s="50">
        <v>1770</v>
      </c>
      <c r="AE194" s="50"/>
      <c r="AF194" s="50" t="s">
        <v>583</v>
      </c>
      <c r="AG194" s="50" t="s">
        <v>547</v>
      </c>
      <c r="AH194" s="50"/>
      <c r="AI194" s="50">
        <f>3355+48</f>
        <v>3403</v>
      </c>
    </row>
    <row r="195" spans="1:35" ht="79.2" x14ac:dyDescent="0.25">
      <c r="A195" s="44">
        <v>133</v>
      </c>
      <c r="B195" s="45" t="s">
        <v>550</v>
      </c>
      <c r="C195" s="46" t="str">
        <f t="shared" ca="1" si="6"/>
        <v xml:space="preserve">Сталь листовая углеродистая обыкновенного качества марки ВСт3пс5 толщиной: 4-6 мм
т
</v>
      </c>
      <c r="D195" s="44">
        <v>-4.1999999999999997E-3</v>
      </c>
      <c r="E195" s="47">
        <v>5763</v>
      </c>
      <c r="F195" s="47"/>
      <c r="G195" s="47">
        <v>5763</v>
      </c>
      <c r="H195" s="58" t="s">
        <v>552</v>
      </c>
      <c r="I195" s="48">
        <v>-108</v>
      </c>
      <c r="J195" s="47"/>
      <c r="K195" s="47"/>
      <c r="L195" s="47" t="str">
        <f>IF(-0.0042*5763=0," ",TEXT(,ROUND((-0.0042*5763*4.507),2)))</f>
        <v>-109,09</v>
      </c>
      <c r="M195" s="47"/>
      <c r="N195" s="47"/>
      <c r="O195" s="49"/>
      <c r="P195" s="49"/>
      <c r="Q195" s="49"/>
      <c r="R195" s="49"/>
      <c r="S195" s="4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 t="s">
        <v>553</v>
      </c>
      <c r="AG195" s="50" t="s">
        <v>158</v>
      </c>
      <c r="AH195" s="50"/>
      <c r="AI195" s="50">
        <f>0+0</f>
        <v>0</v>
      </c>
    </row>
    <row r="196" spans="1:35" ht="79.2" x14ac:dyDescent="0.25">
      <c r="A196" s="44">
        <v>134</v>
      </c>
      <c r="B196" s="45" t="s">
        <v>567</v>
      </c>
      <c r="C196" s="46" t="str">
        <f t="shared" ca="1" si="6"/>
        <v xml:space="preserve">Сталь круглая углеродистая обыкновенного качества марки ВСт3пс5-1 диаметром: 16 мм
т
</v>
      </c>
      <c r="D196" s="44" t="s">
        <v>584</v>
      </c>
      <c r="E196" s="47">
        <v>5230.01</v>
      </c>
      <c r="F196" s="47"/>
      <c r="G196" s="47">
        <v>5230.01</v>
      </c>
      <c r="H196" s="58" t="s">
        <v>569</v>
      </c>
      <c r="I196" s="48">
        <v>3395</v>
      </c>
      <c r="J196" s="47"/>
      <c r="K196" s="47"/>
      <c r="L196" s="47" t="str">
        <f>IF(0.166848*5230.01=0," ",TEXT(,ROUND((0.166848*5230.01*3.889),2)))</f>
        <v>3393,61</v>
      </c>
      <c r="M196" s="47"/>
      <c r="N196" s="47"/>
      <c r="O196" s="49"/>
      <c r="P196" s="49"/>
      <c r="Q196" s="49"/>
      <c r="R196" s="49"/>
      <c r="S196" s="49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 t="s">
        <v>570</v>
      </c>
      <c r="AG196" s="50" t="s">
        <v>158</v>
      </c>
      <c r="AH196" s="50"/>
      <c r="AI196" s="50">
        <f>0+0</f>
        <v>0</v>
      </c>
    </row>
    <row r="197" spans="1:35" ht="66" x14ac:dyDescent="0.25">
      <c r="A197" s="44">
        <v>135</v>
      </c>
      <c r="B197" s="45" t="s">
        <v>585</v>
      </c>
      <c r="C197" s="46" t="str">
        <f t="shared" ca="1" si="6"/>
        <v xml:space="preserve">Зажим угловой коньковый 100мм ДКС ND2202 154,98/1,18/5,63=23,33
шт
</v>
      </c>
      <c r="D197" s="44">
        <v>70</v>
      </c>
      <c r="E197" s="47">
        <v>23.33</v>
      </c>
      <c r="F197" s="47"/>
      <c r="G197" s="47">
        <v>23.33</v>
      </c>
      <c r="H197" s="58" t="s">
        <v>179</v>
      </c>
      <c r="I197" s="48">
        <v>9194</v>
      </c>
      <c r="J197" s="47"/>
      <c r="K197" s="47"/>
      <c r="L197" s="47" t="str">
        <f>IF(70*23.33=0," ",TEXT(,ROUND((70*23.33*5.63),2)))</f>
        <v>9194,35</v>
      </c>
      <c r="M197" s="47"/>
      <c r="N197" s="47"/>
      <c r="O197" s="49"/>
      <c r="P197" s="49"/>
      <c r="Q197" s="49"/>
      <c r="R197" s="49"/>
      <c r="S197" s="4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 t="s">
        <v>586</v>
      </c>
      <c r="AG197" s="50" t="s">
        <v>378</v>
      </c>
      <c r="AH197" s="50"/>
      <c r="AI197" s="50">
        <f>0+0</f>
        <v>0</v>
      </c>
    </row>
    <row r="198" spans="1:35" ht="79.2" x14ac:dyDescent="0.25">
      <c r="A198" s="44">
        <v>136</v>
      </c>
      <c r="B198" s="45" t="s">
        <v>585</v>
      </c>
      <c r="C198" s="46" t="str">
        <f t="shared" ca="1" si="6"/>
        <v xml:space="preserve">Держатель проволоки d8мм кровельный 55мм (пластик) FOREND F21214 281,82/1,18/5,63=42,42
шт
</v>
      </c>
      <c r="D198" s="44">
        <v>66</v>
      </c>
      <c r="E198" s="47">
        <v>42.42</v>
      </c>
      <c r="F198" s="47"/>
      <c r="G198" s="47">
        <v>42.42</v>
      </c>
      <c r="H198" s="58" t="s">
        <v>179</v>
      </c>
      <c r="I198" s="48">
        <v>15764</v>
      </c>
      <c r="J198" s="47"/>
      <c r="K198" s="47"/>
      <c r="L198" s="47" t="str">
        <f>IF(66*42.42=0," ",TEXT(,ROUND((66*42.42*5.63),2)))</f>
        <v>15762,42</v>
      </c>
      <c r="M198" s="47"/>
      <c r="N198" s="47"/>
      <c r="O198" s="49"/>
      <c r="P198" s="49"/>
      <c r="Q198" s="49"/>
      <c r="R198" s="49"/>
      <c r="S198" s="49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 t="s">
        <v>587</v>
      </c>
      <c r="AG198" s="50" t="s">
        <v>378</v>
      </c>
      <c r="AH198" s="50"/>
      <c r="AI198" s="50">
        <f>0+0</f>
        <v>0</v>
      </c>
    </row>
    <row r="199" spans="1:35" ht="66" x14ac:dyDescent="0.25">
      <c r="A199" s="44">
        <v>137</v>
      </c>
      <c r="B199" s="45" t="s">
        <v>585</v>
      </c>
      <c r="C199" s="46" t="str">
        <f t="shared" ca="1" si="6"/>
        <v xml:space="preserve">Держатель фасадный 160мм ДКС ND2301 327,04/1,18/5,63=49,23
шт
</v>
      </c>
      <c r="D199" s="44" t="s">
        <v>588</v>
      </c>
      <c r="E199" s="47">
        <v>49.23</v>
      </c>
      <c r="F199" s="47"/>
      <c r="G199" s="47">
        <v>49.23</v>
      </c>
      <c r="H199" s="58" t="s">
        <v>179</v>
      </c>
      <c r="I199" s="48">
        <v>38526</v>
      </c>
      <c r="J199" s="47"/>
      <c r="K199" s="47"/>
      <c r="L199" s="47" t="str">
        <f>IF(139*49.23=0," ",TEXT(,ROUND((139*49.23*5.63),2)))</f>
        <v>38525,92</v>
      </c>
      <c r="M199" s="47"/>
      <c r="N199" s="47"/>
      <c r="O199" s="49"/>
      <c r="P199" s="49"/>
      <c r="Q199" s="49"/>
      <c r="R199" s="49"/>
      <c r="S199" s="49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 t="s">
        <v>589</v>
      </c>
      <c r="AG199" s="50" t="s">
        <v>378</v>
      </c>
      <c r="AH199" s="50"/>
      <c r="AI199" s="50">
        <f>0+0</f>
        <v>0</v>
      </c>
    </row>
    <row r="200" spans="1:35" ht="132" x14ac:dyDescent="0.25">
      <c r="A200" s="44">
        <v>138</v>
      </c>
      <c r="B200" s="45" t="s">
        <v>590</v>
      </c>
      <c r="C200" s="46" t="str">
        <f t="shared" ca="1" si="6"/>
        <v xml:space="preserve">Бурение ям глубиной до 2 м бурильно-крановыми машинами: на автомобиле, группа грунтов 2
100 ям
155 руб. НР 61%=80%*(0,85*0,9) от ФОТ (254 руб.)
79 руб.СП 31%=45%*(0,8*0,85) от ФОТ (254 руб.)
</v>
      </c>
      <c r="D200" s="44">
        <v>0.05</v>
      </c>
      <c r="E200" s="47" t="s">
        <v>591</v>
      </c>
      <c r="F200" s="47" t="s">
        <v>592</v>
      </c>
      <c r="G200" s="47"/>
      <c r="H200" s="58" t="s">
        <v>593</v>
      </c>
      <c r="I200" s="48">
        <v>876</v>
      </c>
      <c r="J200" s="47">
        <v>95</v>
      </c>
      <c r="K200" s="47" t="s">
        <v>594</v>
      </c>
      <c r="L200" s="47" t="str">
        <f>IF(0.05*0=0," ",TEXT(,ROUND((0.05*0*1),2)))</f>
        <v xml:space="preserve"> </v>
      </c>
      <c r="M200" s="47" t="s">
        <v>595</v>
      </c>
      <c r="N200" s="47" t="s">
        <v>596</v>
      </c>
      <c r="O200" s="49"/>
      <c r="P200" s="49"/>
      <c r="Q200" s="49"/>
      <c r="R200" s="49"/>
      <c r="S200" s="49"/>
      <c r="T200" s="50"/>
      <c r="U200" s="50"/>
      <c r="V200" s="50"/>
      <c r="W200" s="50"/>
      <c r="X200" s="50"/>
      <c r="Y200" s="50"/>
      <c r="Z200" s="50"/>
      <c r="AA200" s="50" t="s">
        <v>597</v>
      </c>
      <c r="AB200" s="50" t="s">
        <v>598</v>
      </c>
      <c r="AC200" s="50">
        <v>155</v>
      </c>
      <c r="AD200" s="50">
        <v>79</v>
      </c>
      <c r="AE200" s="50"/>
      <c r="AF200" s="50" t="s">
        <v>599</v>
      </c>
      <c r="AG200" s="50" t="s">
        <v>600</v>
      </c>
      <c r="AH200" s="50"/>
      <c r="AI200" s="50">
        <f>95+159</f>
        <v>254</v>
      </c>
    </row>
    <row r="201" spans="1:35" ht="118.8" x14ac:dyDescent="0.25">
      <c r="A201" s="44">
        <v>139</v>
      </c>
      <c r="B201" s="45" t="s">
        <v>601</v>
      </c>
      <c r="C201" s="46" t="str">
        <f t="shared" ca="1" si="6"/>
        <v xml:space="preserve">Огрунтовка металлических поверхностей за один раз: грунтовкой ГФ-021
100 м2 окрашиваемой поверхности
132 руб. НР 69%=90%*(0,85*0,9) от ФОТ (191 руб.)
92 руб.СП 48%=70%*(0,8*0,85) от ФОТ (191 руб.)
</v>
      </c>
      <c r="D201" s="44">
        <v>0.17</v>
      </c>
      <c r="E201" s="47" t="s">
        <v>602</v>
      </c>
      <c r="F201" s="47" t="s">
        <v>603</v>
      </c>
      <c r="G201" s="47">
        <v>202.72</v>
      </c>
      <c r="H201" s="58" t="s">
        <v>604</v>
      </c>
      <c r="I201" s="48">
        <v>388</v>
      </c>
      <c r="J201" s="47">
        <v>191</v>
      </c>
      <c r="K201" s="47">
        <v>33</v>
      </c>
      <c r="L201" s="47" t="str">
        <f>IF(0.17*202.72=0," ",TEXT(,ROUND((0.17*202.72*4.81),2)))</f>
        <v>165,76</v>
      </c>
      <c r="M201" s="47" t="s">
        <v>605</v>
      </c>
      <c r="N201" s="47">
        <v>0.9</v>
      </c>
      <c r="O201" s="49"/>
      <c r="P201" s="49"/>
      <c r="Q201" s="49"/>
      <c r="R201" s="49"/>
      <c r="S201" s="49"/>
      <c r="T201" s="50"/>
      <c r="U201" s="50"/>
      <c r="V201" s="50"/>
      <c r="W201" s="50"/>
      <c r="X201" s="50"/>
      <c r="Y201" s="50"/>
      <c r="Z201" s="50"/>
      <c r="AA201" s="50" t="s">
        <v>221</v>
      </c>
      <c r="AB201" s="50" t="s">
        <v>32</v>
      </c>
      <c r="AC201" s="50">
        <v>132</v>
      </c>
      <c r="AD201" s="50">
        <v>92</v>
      </c>
      <c r="AE201" s="50"/>
      <c r="AF201" s="50" t="s">
        <v>606</v>
      </c>
      <c r="AG201" s="50" t="s">
        <v>607</v>
      </c>
      <c r="AH201" s="50"/>
      <c r="AI201" s="50">
        <f>191+0</f>
        <v>191</v>
      </c>
    </row>
    <row r="202" spans="1:35" ht="145.19999999999999" x14ac:dyDescent="0.25">
      <c r="A202" s="52">
        <v>140</v>
      </c>
      <c r="B202" s="53" t="s">
        <v>608</v>
      </c>
      <c r="C202" s="54" t="str">
        <f t="shared" ca="1" si="6"/>
        <v xml:space="preserve">Окраска металлических огрунтованных поверхностей: эмалью ПФ-115
100 м2 окрашиваемой поверхности
(За 2 раза ПЗ=2 (ОЗП=2; ЭМ=2 к расх.; ЗПМ=2; МАТ=2 к расх.; ТЗ=2; ТЗМ=2))
154 руб. НР 69%=90%*(0,85*0,9) от ФОТ (223 руб.)
107 руб.СП 48%=70%*(0,8*0,85) от ФОТ (223 руб.)
</v>
      </c>
      <c r="D202" s="52">
        <v>0.17</v>
      </c>
      <c r="E202" s="55" t="s">
        <v>609</v>
      </c>
      <c r="F202" s="55" t="s">
        <v>610</v>
      </c>
      <c r="G202" s="55">
        <v>562.55999999999995</v>
      </c>
      <c r="H202" s="56" t="s">
        <v>611</v>
      </c>
      <c r="I202" s="57">
        <v>836</v>
      </c>
      <c r="J202" s="55">
        <v>223</v>
      </c>
      <c r="K202" s="55">
        <v>33</v>
      </c>
      <c r="L202" s="55" t="str">
        <f>IF(0.17*562.56=0," ",TEXT(,ROUND((0.17*562.56*6.04),2)))</f>
        <v>577,64</v>
      </c>
      <c r="M202" s="55" t="s">
        <v>612</v>
      </c>
      <c r="N202" s="55">
        <v>1.3</v>
      </c>
      <c r="O202" s="49"/>
      <c r="P202" s="49"/>
      <c r="Q202" s="49"/>
      <c r="R202" s="49"/>
      <c r="S202" s="49"/>
      <c r="T202" s="50"/>
      <c r="U202" s="50"/>
      <c r="V202" s="50"/>
      <c r="W202" s="50"/>
      <c r="X202" s="50"/>
      <c r="Y202" s="50"/>
      <c r="Z202" s="50"/>
      <c r="AA202" s="50" t="s">
        <v>221</v>
      </c>
      <c r="AB202" s="50" t="s">
        <v>32</v>
      </c>
      <c r="AC202" s="50">
        <v>154</v>
      </c>
      <c r="AD202" s="50">
        <v>107</v>
      </c>
      <c r="AE202" s="50" t="s">
        <v>613</v>
      </c>
      <c r="AF202" s="50" t="s">
        <v>614</v>
      </c>
      <c r="AG202" s="50" t="s">
        <v>607</v>
      </c>
      <c r="AH202" s="50"/>
      <c r="AI202" s="50">
        <f>223+0</f>
        <v>223</v>
      </c>
    </row>
    <row r="203" spans="1:35" ht="26.4" x14ac:dyDescent="0.25">
      <c r="A203" s="69" t="s">
        <v>106</v>
      </c>
      <c r="B203" s="64"/>
      <c r="C203" s="64"/>
      <c r="D203" s="64"/>
      <c r="E203" s="64"/>
      <c r="F203" s="64"/>
      <c r="G203" s="64"/>
      <c r="H203" s="64"/>
      <c r="I203" s="48">
        <v>14630</v>
      </c>
      <c r="J203" s="47">
        <v>629</v>
      </c>
      <c r="K203" s="47" t="s">
        <v>615</v>
      </c>
      <c r="L203" s="47">
        <v>13685</v>
      </c>
      <c r="M203" s="47"/>
      <c r="N203" s="47" t="s">
        <v>616</v>
      </c>
      <c r="O203" s="17"/>
      <c r="P203" s="18"/>
      <c r="Q203" s="17"/>
      <c r="R203" s="17"/>
      <c r="S203" s="17"/>
    </row>
    <row r="204" spans="1:35" ht="26.4" x14ac:dyDescent="0.25">
      <c r="A204" s="69" t="s">
        <v>230</v>
      </c>
      <c r="B204" s="64"/>
      <c r="C204" s="64"/>
      <c r="D204" s="64"/>
      <c r="E204" s="64"/>
      <c r="F204" s="64"/>
      <c r="G204" s="64"/>
      <c r="H204" s="64"/>
      <c r="I204" s="48">
        <v>14636</v>
      </c>
      <c r="J204" s="47">
        <v>633</v>
      </c>
      <c r="K204" s="47" t="s">
        <v>617</v>
      </c>
      <c r="L204" s="47">
        <v>13685</v>
      </c>
      <c r="M204" s="47"/>
      <c r="N204" s="47" t="s">
        <v>618</v>
      </c>
      <c r="O204" s="17"/>
      <c r="P204" s="18"/>
      <c r="Q204" s="17"/>
      <c r="R204" s="17"/>
      <c r="S204" s="17"/>
    </row>
    <row r="205" spans="1:35" x14ac:dyDescent="0.25">
      <c r="A205" s="69" t="s">
        <v>233</v>
      </c>
      <c r="B205" s="64"/>
      <c r="C205" s="64"/>
      <c r="D205" s="64"/>
      <c r="E205" s="64"/>
      <c r="F205" s="64"/>
      <c r="G205" s="64"/>
      <c r="H205" s="64"/>
      <c r="I205" s="48"/>
      <c r="J205" s="47"/>
      <c r="K205" s="47"/>
      <c r="L205" s="47"/>
      <c r="M205" s="47"/>
      <c r="N205" s="47"/>
      <c r="O205" s="17"/>
      <c r="P205" s="18"/>
      <c r="Q205" s="17"/>
      <c r="R205" s="17"/>
      <c r="S205" s="17"/>
    </row>
    <row r="206" spans="1:35" ht="27.9" customHeight="1" x14ac:dyDescent="0.25">
      <c r="A206" s="69" t="s">
        <v>619</v>
      </c>
      <c r="B206" s="64"/>
      <c r="C206" s="64"/>
      <c r="D206" s="64"/>
      <c r="E206" s="64"/>
      <c r="F206" s="64"/>
      <c r="G206" s="64"/>
      <c r="H206" s="64"/>
      <c r="I206" s="48">
        <v>6</v>
      </c>
      <c r="J206" s="47">
        <v>3</v>
      </c>
      <c r="K206" s="47">
        <v>1</v>
      </c>
      <c r="L206" s="47"/>
      <c r="M206" s="47"/>
      <c r="N206" s="47">
        <v>0.33</v>
      </c>
      <c r="O206" s="17"/>
      <c r="P206" s="18"/>
      <c r="Q206" s="17"/>
      <c r="R206" s="17"/>
      <c r="S206" s="17"/>
    </row>
    <row r="207" spans="1:35" ht="26.4" x14ac:dyDescent="0.25">
      <c r="A207" s="69" t="s">
        <v>109</v>
      </c>
      <c r="B207" s="64"/>
      <c r="C207" s="64"/>
      <c r="D207" s="64"/>
      <c r="E207" s="64"/>
      <c r="F207" s="64"/>
      <c r="G207" s="64"/>
      <c r="H207" s="64"/>
      <c r="I207" s="48">
        <v>85571</v>
      </c>
      <c r="J207" s="47">
        <v>10065</v>
      </c>
      <c r="K207" s="47" t="s">
        <v>620</v>
      </c>
      <c r="L207" s="47">
        <v>72953</v>
      </c>
      <c r="M207" s="47"/>
      <c r="N207" s="47" t="s">
        <v>618</v>
      </c>
      <c r="O207" s="17"/>
      <c r="P207" s="18"/>
      <c r="Q207" s="17"/>
      <c r="R207" s="17"/>
      <c r="S207" s="17"/>
    </row>
    <row r="208" spans="1:35" x14ac:dyDescent="0.25">
      <c r="A208" s="69" t="s">
        <v>111</v>
      </c>
      <c r="B208" s="64"/>
      <c r="C208" s="64"/>
      <c r="D208" s="64"/>
      <c r="E208" s="64"/>
      <c r="F208" s="64"/>
      <c r="G208" s="64"/>
      <c r="H208" s="64"/>
      <c r="I208" s="48">
        <v>8272</v>
      </c>
      <c r="J208" s="47"/>
      <c r="K208" s="47"/>
      <c r="L208" s="47"/>
      <c r="M208" s="47"/>
      <c r="N208" s="47"/>
      <c r="O208" s="17"/>
      <c r="P208" s="18"/>
      <c r="Q208" s="17"/>
      <c r="R208" s="17"/>
      <c r="S208" s="17"/>
    </row>
    <row r="209" spans="1:35" x14ac:dyDescent="0.25">
      <c r="A209" s="69" t="s">
        <v>112</v>
      </c>
      <c r="B209" s="64"/>
      <c r="C209" s="64"/>
      <c r="D209" s="64"/>
      <c r="E209" s="64"/>
      <c r="F209" s="64"/>
      <c r="G209" s="64"/>
      <c r="H209" s="64"/>
      <c r="I209" s="48">
        <v>5305</v>
      </c>
      <c r="J209" s="47"/>
      <c r="K209" s="47"/>
      <c r="L209" s="47"/>
      <c r="M209" s="47"/>
      <c r="N209" s="47"/>
      <c r="O209" s="17"/>
      <c r="P209" s="18"/>
      <c r="Q209" s="17"/>
      <c r="R209" s="17"/>
      <c r="S209" s="17"/>
    </row>
    <row r="210" spans="1:35" ht="26.4" x14ac:dyDescent="0.25">
      <c r="A210" s="67" t="s">
        <v>621</v>
      </c>
      <c r="B210" s="68"/>
      <c r="C210" s="68"/>
      <c r="D210" s="68"/>
      <c r="E210" s="68"/>
      <c r="F210" s="68"/>
      <c r="G210" s="68"/>
      <c r="H210" s="68"/>
      <c r="I210" s="59">
        <v>99148</v>
      </c>
      <c r="J210" s="60"/>
      <c r="K210" s="60"/>
      <c r="L210" s="60"/>
      <c r="M210" s="60"/>
      <c r="N210" s="60" t="s">
        <v>618</v>
      </c>
      <c r="O210" s="17"/>
      <c r="P210" s="18"/>
      <c r="Q210" s="17"/>
      <c r="R210" s="17"/>
      <c r="S210" s="17"/>
    </row>
    <row r="211" spans="1:35" ht="21" customHeight="1" x14ac:dyDescent="0.25">
      <c r="A211" s="70" t="s">
        <v>622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</row>
    <row r="212" spans="1:35" ht="79.2" x14ac:dyDescent="0.25">
      <c r="A212" s="44">
        <v>141</v>
      </c>
      <c r="B212" s="45" t="s">
        <v>623</v>
      </c>
      <c r="C212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212" s="44" t="s">
        <v>624</v>
      </c>
      <c r="E212" s="47" t="s">
        <v>625</v>
      </c>
      <c r="F212" s="47"/>
      <c r="G212" s="47"/>
      <c r="H212" s="58" t="s">
        <v>626</v>
      </c>
      <c r="I212" s="48">
        <v>1107</v>
      </c>
      <c r="J212" s="47">
        <v>1107</v>
      </c>
      <c r="K212" s="47"/>
      <c r="L212" s="47" t="str">
        <f>IF(2.4024*0=0," ",TEXT(,ROUND((2.4024*0*1),2)))</f>
        <v xml:space="preserve"> </v>
      </c>
      <c r="M212" s="47"/>
      <c r="N212" s="47"/>
      <c r="O212" s="49"/>
      <c r="P212" s="49"/>
      <c r="Q212" s="49"/>
      <c r="R212" s="49"/>
      <c r="S212" s="49"/>
      <c r="T212" s="50"/>
      <c r="U212" s="50"/>
      <c r="V212" s="50"/>
      <c r="W212" s="50"/>
      <c r="X212" s="50"/>
      <c r="Y212" s="50"/>
      <c r="Z212" s="50"/>
      <c r="AA212" s="50" t="s">
        <v>627</v>
      </c>
      <c r="AB212" s="50" t="s">
        <v>628</v>
      </c>
      <c r="AC212" s="50"/>
      <c r="AD212" s="50"/>
      <c r="AE212" s="50"/>
      <c r="AF212" s="50" t="s">
        <v>629</v>
      </c>
      <c r="AG212" s="50" t="s">
        <v>630</v>
      </c>
      <c r="AH212" s="50"/>
      <c r="AI212" s="50">
        <f>1107+0</f>
        <v>1107</v>
      </c>
    </row>
    <row r="213" spans="1:35" ht="92.4" x14ac:dyDescent="0.25">
      <c r="A213" s="44">
        <v>142</v>
      </c>
      <c r="B213" s="45" t="s">
        <v>631</v>
      </c>
      <c r="C213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экскаваторами емкостью ковша до 0,5 м3
1 т груза
</v>
      </c>
      <c r="D213" s="44" t="s">
        <v>632</v>
      </c>
      <c r="E213" s="47">
        <v>3.28</v>
      </c>
      <c r="F213" s="47">
        <v>3.28</v>
      </c>
      <c r="G213" s="47"/>
      <c r="H213" s="58" t="s">
        <v>633</v>
      </c>
      <c r="I213" s="48">
        <v>2938</v>
      </c>
      <c r="J213" s="47"/>
      <c r="K213" s="47">
        <v>2938</v>
      </c>
      <c r="L213" s="47" t="str">
        <f>IF(77.6776*0=0," ",TEXT(,ROUND((77.6776*0*1),2)))</f>
        <v xml:space="preserve"> </v>
      </c>
      <c r="M213" s="47"/>
      <c r="N213" s="47"/>
      <c r="O213" s="49"/>
      <c r="P213" s="49"/>
      <c r="Q213" s="49"/>
      <c r="R213" s="49"/>
      <c r="S213" s="49"/>
      <c r="T213" s="50"/>
      <c r="U213" s="50"/>
      <c r="V213" s="50"/>
      <c r="W213" s="50"/>
      <c r="X213" s="50"/>
      <c r="Y213" s="50"/>
      <c r="Z213" s="50"/>
      <c r="AA213" s="50" t="s">
        <v>627</v>
      </c>
      <c r="AB213" s="50" t="s">
        <v>628</v>
      </c>
      <c r="AC213" s="50"/>
      <c r="AD213" s="50"/>
      <c r="AE213" s="50"/>
      <c r="AF213" s="50" t="s">
        <v>634</v>
      </c>
      <c r="AG213" s="50" t="s">
        <v>630</v>
      </c>
      <c r="AH213" s="50"/>
      <c r="AI213" s="50">
        <f>0+0</f>
        <v>0</v>
      </c>
    </row>
    <row r="214" spans="1:35" ht="84.75" customHeight="1" x14ac:dyDescent="0.25">
      <c r="A214" s="52">
        <v>143</v>
      </c>
      <c r="B214" s="53" t="s">
        <v>635</v>
      </c>
      <c r="C214" s="54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214" s="52">
        <v>80.08</v>
      </c>
      <c r="E214" s="55">
        <v>13.38</v>
      </c>
      <c r="F214" s="55">
        <v>13.38</v>
      </c>
      <c r="G214" s="55"/>
      <c r="H214" s="56" t="s">
        <v>636</v>
      </c>
      <c r="I214" s="57">
        <v>10517</v>
      </c>
      <c r="J214" s="55"/>
      <c r="K214" s="55">
        <v>10517</v>
      </c>
      <c r="L214" s="55" t="str">
        <f>IF(80.08*0=0," ",TEXT(,ROUND((80.08*0*1),2)))</f>
        <v xml:space="preserve"> </v>
      </c>
      <c r="M214" s="55"/>
      <c r="N214" s="55"/>
      <c r="O214" s="49"/>
      <c r="P214" s="49"/>
      <c r="Q214" s="49"/>
      <c r="R214" s="49"/>
      <c r="S214" s="49"/>
      <c r="T214" s="50"/>
      <c r="U214" s="50"/>
      <c r="V214" s="50"/>
      <c r="W214" s="50"/>
      <c r="X214" s="50"/>
      <c r="Y214" s="50"/>
      <c r="Z214" s="50"/>
      <c r="AA214" s="50" t="s">
        <v>151</v>
      </c>
      <c r="AB214" s="50" t="s">
        <v>152</v>
      </c>
      <c r="AC214" s="50"/>
      <c r="AD214" s="50"/>
      <c r="AE214" s="50"/>
      <c r="AF214" s="50" t="s">
        <v>637</v>
      </c>
      <c r="AG214" s="50" t="s">
        <v>630</v>
      </c>
      <c r="AH214" s="50"/>
      <c r="AI214" s="50">
        <f>0+0</f>
        <v>0</v>
      </c>
    </row>
    <row r="215" spans="1:35" x14ac:dyDescent="0.25">
      <c r="A215" s="69" t="s">
        <v>106</v>
      </c>
      <c r="B215" s="64"/>
      <c r="C215" s="64"/>
      <c r="D215" s="64"/>
      <c r="E215" s="64"/>
      <c r="F215" s="64"/>
      <c r="G215" s="64"/>
      <c r="H215" s="64"/>
      <c r="I215" s="48">
        <v>1429</v>
      </c>
      <c r="J215" s="47">
        <v>103</v>
      </c>
      <c r="K215" s="47">
        <v>1326</v>
      </c>
      <c r="L215" s="47"/>
      <c r="M215" s="47"/>
      <c r="N215" s="47"/>
      <c r="O215" s="17"/>
      <c r="P215" s="18"/>
      <c r="Q215" s="17"/>
      <c r="R215" s="17"/>
      <c r="S215" s="17"/>
    </row>
    <row r="216" spans="1:35" x14ac:dyDescent="0.25">
      <c r="A216" s="69" t="s">
        <v>109</v>
      </c>
      <c r="B216" s="64"/>
      <c r="C216" s="64"/>
      <c r="D216" s="64"/>
      <c r="E216" s="64"/>
      <c r="F216" s="64"/>
      <c r="G216" s="64"/>
      <c r="H216" s="64"/>
      <c r="I216" s="48">
        <v>14562</v>
      </c>
      <c r="J216" s="47">
        <v>1107</v>
      </c>
      <c r="K216" s="47">
        <v>13455</v>
      </c>
      <c r="L216" s="47"/>
      <c r="M216" s="47"/>
      <c r="N216" s="47"/>
      <c r="O216" s="17"/>
      <c r="P216" s="18"/>
      <c r="Q216" s="17"/>
      <c r="R216" s="17"/>
      <c r="S216" s="17"/>
    </row>
    <row r="217" spans="1:35" x14ac:dyDescent="0.25">
      <c r="A217" s="67" t="s">
        <v>638</v>
      </c>
      <c r="B217" s="68"/>
      <c r="C217" s="68"/>
      <c r="D217" s="68"/>
      <c r="E217" s="68"/>
      <c r="F217" s="68"/>
      <c r="G217" s="68"/>
      <c r="H217" s="68"/>
      <c r="I217" s="59">
        <v>14562</v>
      </c>
      <c r="J217" s="60"/>
      <c r="K217" s="60"/>
      <c r="L217" s="55"/>
      <c r="M217" s="55"/>
      <c r="N217" s="55"/>
      <c r="O217" s="17"/>
      <c r="P217" s="18"/>
      <c r="Q217" s="17"/>
      <c r="R217" s="17"/>
      <c r="S217" s="17"/>
    </row>
    <row r="218" spans="1:35" ht="26.4" x14ac:dyDescent="0.25">
      <c r="A218" s="63" t="s">
        <v>639</v>
      </c>
      <c r="B218" s="64"/>
      <c r="C218" s="64"/>
      <c r="D218" s="64"/>
      <c r="E218" s="64"/>
      <c r="F218" s="64"/>
      <c r="G218" s="64"/>
      <c r="H218" s="64"/>
      <c r="I218" s="61">
        <v>343604</v>
      </c>
      <c r="J218" s="61">
        <v>25688</v>
      </c>
      <c r="K218" s="61" t="s">
        <v>640</v>
      </c>
      <c r="L218" s="61">
        <v>308766</v>
      </c>
      <c r="M218" s="61"/>
      <c r="N218" s="61" t="s">
        <v>641</v>
      </c>
      <c r="O218" s="17"/>
      <c r="P218" s="18"/>
      <c r="Q218" s="17"/>
      <c r="R218" s="17"/>
      <c r="S218" s="17"/>
    </row>
    <row r="219" spans="1:35" ht="26.4" x14ac:dyDescent="0.25">
      <c r="A219" s="63" t="s">
        <v>642</v>
      </c>
      <c r="B219" s="64"/>
      <c r="C219" s="64"/>
      <c r="D219" s="64"/>
      <c r="E219" s="64"/>
      <c r="F219" s="64"/>
      <c r="G219" s="64"/>
      <c r="H219" s="64"/>
      <c r="I219" s="61">
        <v>348136</v>
      </c>
      <c r="J219" s="61">
        <v>28525</v>
      </c>
      <c r="K219" s="61" t="s">
        <v>643</v>
      </c>
      <c r="L219" s="61">
        <v>308766</v>
      </c>
      <c r="M219" s="61"/>
      <c r="N219" s="61" t="s">
        <v>644</v>
      </c>
      <c r="O219" s="17"/>
      <c r="P219" s="18"/>
      <c r="Q219" s="17"/>
      <c r="R219" s="17"/>
      <c r="S219" s="17"/>
    </row>
    <row r="220" spans="1:35" ht="26.4" x14ac:dyDescent="0.25">
      <c r="A220" s="63" t="s">
        <v>645</v>
      </c>
      <c r="B220" s="64"/>
      <c r="C220" s="64"/>
      <c r="D220" s="64"/>
      <c r="E220" s="64"/>
      <c r="F220" s="64"/>
      <c r="G220" s="64"/>
      <c r="H220" s="64"/>
      <c r="I220" s="61">
        <v>2074168</v>
      </c>
      <c r="J220" s="61">
        <v>453018</v>
      </c>
      <c r="K220" s="61" t="s">
        <v>646</v>
      </c>
      <c r="L220" s="61">
        <v>1509988</v>
      </c>
      <c r="M220" s="61"/>
      <c r="N220" s="61" t="s">
        <v>644</v>
      </c>
      <c r="O220" s="17"/>
      <c r="P220" s="18"/>
      <c r="Q220" s="17"/>
      <c r="R220" s="17"/>
      <c r="S220" s="17"/>
    </row>
    <row r="221" spans="1:35" x14ac:dyDescent="0.25">
      <c r="A221" s="63" t="s">
        <v>111</v>
      </c>
      <c r="B221" s="64"/>
      <c r="C221" s="64"/>
      <c r="D221" s="64"/>
      <c r="E221" s="64"/>
      <c r="F221" s="64"/>
      <c r="G221" s="64"/>
      <c r="H221" s="64"/>
      <c r="I221" s="61">
        <v>396936</v>
      </c>
      <c r="J221" s="61"/>
      <c r="K221" s="61"/>
      <c r="L221" s="61"/>
      <c r="M221" s="61"/>
      <c r="N221" s="61"/>
      <c r="O221" s="17"/>
      <c r="P221" s="18"/>
      <c r="Q221" s="17"/>
      <c r="R221" s="17"/>
      <c r="S221" s="17"/>
    </row>
    <row r="222" spans="1:35" x14ac:dyDescent="0.25">
      <c r="A222" s="63" t="s">
        <v>112</v>
      </c>
      <c r="B222" s="64"/>
      <c r="C222" s="64"/>
      <c r="D222" s="64"/>
      <c r="E222" s="64"/>
      <c r="F222" s="64"/>
      <c r="G222" s="64"/>
      <c r="H222" s="64"/>
      <c r="I222" s="61">
        <v>213569</v>
      </c>
      <c r="J222" s="61"/>
      <c r="K222" s="61"/>
      <c r="L222" s="61"/>
      <c r="M222" s="61"/>
      <c r="N222" s="61"/>
      <c r="O222" s="17"/>
      <c r="P222" s="18"/>
      <c r="Q222" s="17"/>
      <c r="R222" s="17"/>
      <c r="S222" s="17"/>
    </row>
    <row r="223" spans="1:35" x14ac:dyDescent="0.25">
      <c r="A223" s="65" t="s">
        <v>647</v>
      </c>
      <c r="B223" s="66"/>
      <c r="C223" s="66"/>
      <c r="D223" s="66"/>
      <c r="E223" s="66"/>
      <c r="F223" s="66"/>
      <c r="G223" s="66"/>
      <c r="H223" s="66"/>
      <c r="I223" s="62"/>
      <c r="J223" s="62"/>
      <c r="K223" s="62"/>
      <c r="L223" s="62"/>
      <c r="M223" s="62"/>
      <c r="N223" s="62"/>
      <c r="O223" s="17"/>
      <c r="P223" s="18"/>
      <c r="Q223" s="17"/>
      <c r="R223" s="17"/>
      <c r="S223" s="17"/>
    </row>
    <row r="224" spans="1:35" ht="26.4" x14ac:dyDescent="0.25">
      <c r="A224" s="63" t="s">
        <v>648</v>
      </c>
      <c r="B224" s="64"/>
      <c r="C224" s="64"/>
      <c r="D224" s="64"/>
      <c r="E224" s="64"/>
      <c r="F224" s="64"/>
      <c r="G224" s="64"/>
      <c r="H224" s="64"/>
      <c r="I224" s="61">
        <v>2588344</v>
      </c>
      <c r="J224" s="61"/>
      <c r="K224" s="61"/>
      <c r="L224" s="61"/>
      <c r="M224" s="61"/>
      <c r="N224" s="61" t="s">
        <v>649</v>
      </c>
      <c r="O224" s="17"/>
      <c r="P224" s="18"/>
      <c r="Q224" s="17"/>
      <c r="R224" s="17"/>
      <c r="S224" s="17"/>
    </row>
    <row r="225" spans="1:19" ht="26.4" x14ac:dyDescent="0.25">
      <c r="A225" s="63" t="s">
        <v>650</v>
      </c>
      <c r="B225" s="64"/>
      <c r="C225" s="64"/>
      <c r="D225" s="64"/>
      <c r="E225" s="64"/>
      <c r="F225" s="64"/>
      <c r="G225" s="64"/>
      <c r="H225" s="64"/>
      <c r="I225" s="61">
        <v>96329</v>
      </c>
      <c r="J225" s="61"/>
      <c r="K225" s="61"/>
      <c r="L225" s="61"/>
      <c r="M225" s="61"/>
      <c r="N225" s="61" t="s">
        <v>651</v>
      </c>
      <c r="O225" s="17"/>
      <c r="P225" s="18"/>
      <c r="Q225" s="17"/>
      <c r="R225" s="17"/>
      <c r="S225" s="17"/>
    </row>
    <row r="226" spans="1:19" ht="26.4" x14ac:dyDescent="0.25">
      <c r="A226" s="63" t="s">
        <v>652</v>
      </c>
      <c r="B226" s="64"/>
      <c r="C226" s="64"/>
      <c r="D226" s="64"/>
      <c r="E226" s="64"/>
      <c r="F226" s="64"/>
      <c r="G226" s="64"/>
      <c r="H226" s="64"/>
      <c r="I226" s="61">
        <v>2684673</v>
      </c>
      <c r="J226" s="61"/>
      <c r="K226" s="61"/>
      <c r="L226" s="61"/>
      <c r="M226" s="61"/>
      <c r="N226" s="61" t="s">
        <v>644</v>
      </c>
      <c r="O226" s="17"/>
      <c r="P226" s="18"/>
      <c r="Q226" s="17"/>
      <c r="R226" s="17"/>
      <c r="S226" s="17"/>
    </row>
    <row r="227" spans="1:19" x14ac:dyDescent="0.25">
      <c r="A227" s="63" t="s">
        <v>653</v>
      </c>
      <c r="B227" s="64"/>
      <c r="C227" s="64"/>
      <c r="D227" s="64"/>
      <c r="E227" s="64"/>
      <c r="F227" s="64"/>
      <c r="G227" s="64"/>
      <c r="H227" s="64"/>
      <c r="I227" s="61"/>
      <c r="J227" s="61"/>
      <c r="K227" s="61"/>
      <c r="L227" s="61"/>
      <c r="M227" s="61"/>
      <c r="N227" s="61"/>
      <c r="O227" s="17"/>
      <c r="P227" s="18"/>
      <c r="Q227" s="17"/>
      <c r="R227" s="17"/>
      <c r="S227" s="17"/>
    </row>
    <row r="228" spans="1:19" x14ac:dyDescent="0.25">
      <c r="A228" s="63" t="s">
        <v>654</v>
      </c>
      <c r="B228" s="64"/>
      <c r="C228" s="64"/>
      <c r="D228" s="64"/>
      <c r="E228" s="64"/>
      <c r="F228" s="64"/>
      <c r="G228" s="64"/>
      <c r="H228" s="64"/>
      <c r="I228" s="61">
        <v>1509988</v>
      </c>
      <c r="J228" s="61"/>
      <c r="K228" s="61"/>
      <c r="L228" s="61"/>
      <c r="M228" s="61"/>
      <c r="N228" s="61"/>
      <c r="O228" s="17"/>
      <c r="P228" s="18"/>
      <c r="Q228" s="17"/>
      <c r="R228" s="17"/>
      <c r="S228" s="17"/>
    </row>
    <row r="229" spans="1:19" x14ac:dyDescent="0.25">
      <c r="A229" s="63" t="s">
        <v>655</v>
      </c>
      <c r="B229" s="64"/>
      <c r="C229" s="64"/>
      <c r="D229" s="64"/>
      <c r="E229" s="64"/>
      <c r="F229" s="64"/>
      <c r="G229" s="64"/>
      <c r="H229" s="64"/>
      <c r="I229" s="61">
        <v>111165</v>
      </c>
      <c r="J229" s="61"/>
      <c r="K229" s="61"/>
      <c r="L229" s="61"/>
      <c r="M229" s="61"/>
      <c r="N229" s="61"/>
      <c r="O229" s="17"/>
      <c r="P229" s="18"/>
      <c r="Q229" s="17"/>
      <c r="R229" s="17"/>
      <c r="S229" s="17"/>
    </row>
    <row r="230" spans="1:19" x14ac:dyDescent="0.25">
      <c r="A230" s="63" t="s">
        <v>656</v>
      </c>
      <c r="B230" s="64"/>
      <c r="C230" s="64"/>
      <c r="D230" s="64"/>
      <c r="E230" s="64"/>
      <c r="F230" s="64"/>
      <c r="G230" s="64"/>
      <c r="H230" s="64"/>
      <c r="I230" s="61">
        <v>464199</v>
      </c>
      <c r="J230" s="61"/>
      <c r="K230" s="61"/>
      <c r="L230" s="61"/>
      <c r="M230" s="61"/>
      <c r="N230" s="61"/>
      <c r="O230" s="17"/>
      <c r="P230" s="18"/>
      <c r="Q230" s="17"/>
      <c r="R230" s="17"/>
      <c r="S230" s="17"/>
    </row>
    <row r="231" spans="1:19" x14ac:dyDescent="0.25">
      <c r="A231" s="63" t="s">
        <v>657</v>
      </c>
      <c r="B231" s="64"/>
      <c r="C231" s="64"/>
      <c r="D231" s="64"/>
      <c r="E231" s="64"/>
      <c r="F231" s="64"/>
      <c r="G231" s="64"/>
      <c r="H231" s="64"/>
      <c r="I231" s="61">
        <v>396936</v>
      </c>
      <c r="J231" s="61"/>
      <c r="K231" s="61"/>
      <c r="L231" s="61"/>
      <c r="M231" s="61"/>
      <c r="N231" s="61"/>
      <c r="O231" s="17"/>
      <c r="P231" s="18"/>
      <c r="Q231" s="17"/>
      <c r="R231" s="17"/>
      <c r="S231" s="17"/>
    </row>
    <row r="232" spans="1:19" x14ac:dyDescent="0.25">
      <c r="A232" s="63" t="s">
        <v>658</v>
      </c>
      <c r="B232" s="64"/>
      <c r="C232" s="64"/>
      <c r="D232" s="64"/>
      <c r="E232" s="64"/>
      <c r="F232" s="64"/>
      <c r="G232" s="64"/>
      <c r="H232" s="64"/>
      <c r="I232" s="61">
        <v>213569</v>
      </c>
      <c r="J232" s="61"/>
      <c r="K232" s="61"/>
      <c r="L232" s="61"/>
      <c r="M232" s="61"/>
      <c r="N232" s="61"/>
      <c r="O232" s="17"/>
      <c r="P232" s="18"/>
      <c r="Q232" s="17"/>
      <c r="R232" s="17"/>
      <c r="S232" s="17"/>
    </row>
    <row r="233" spans="1:19" ht="26.4" x14ac:dyDescent="0.25">
      <c r="A233" s="65" t="s">
        <v>659</v>
      </c>
      <c r="B233" s="66"/>
      <c r="C233" s="66"/>
      <c r="D233" s="66"/>
      <c r="E233" s="66"/>
      <c r="F233" s="66"/>
      <c r="G233" s="66"/>
      <c r="H233" s="66"/>
      <c r="I233" s="62">
        <v>2684673</v>
      </c>
      <c r="J233" s="62"/>
      <c r="K233" s="62"/>
      <c r="L233" s="62"/>
      <c r="M233" s="62"/>
      <c r="N233" s="62" t="s">
        <v>644</v>
      </c>
      <c r="O233" s="17"/>
      <c r="P233" s="18"/>
      <c r="Q233" s="17"/>
      <c r="R233" s="17"/>
      <c r="S233" s="17"/>
    </row>
    <row r="234" spans="1:19" x14ac:dyDescent="0.25">
      <c r="A234" s="16"/>
      <c r="B234" s="36"/>
      <c r="C234" s="36"/>
      <c r="D234" s="16"/>
      <c r="E234" s="33"/>
      <c r="F234" s="33"/>
      <c r="G234" s="33"/>
      <c r="H234" s="33"/>
      <c r="I234" s="37"/>
      <c r="J234" s="33"/>
      <c r="K234" s="33"/>
      <c r="L234" s="33"/>
      <c r="M234" s="33"/>
      <c r="O234" s="39"/>
      <c r="P234" s="39"/>
      <c r="Q234" s="39"/>
      <c r="R234" s="39"/>
      <c r="S234" s="39"/>
    </row>
    <row r="235" spans="1:19" x14ac:dyDescent="0.25">
      <c r="A235" s="16"/>
      <c r="B235" s="36"/>
      <c r="C235" s="36"/>
      <c r="D235" s="16"/>
      <c r="E235" s="33"/>
      <c r="F235" s="33"/>
      <c r="G235" s="33"/>
      <c r="H235" s="33"/>
      <c r="I235" s="37"/>
      <c r="J235" s="33"/>
      <c r="K235" s="33"/>
      <c r="L235" s="33"/>
      <c r="M235" s="33"/>
    </row>
    <row r="236" spans="1:19" x14ac:dyDescent="0.25">
      <c r="A236" s="16"/>
      <c r="B236" s="36"/>
      <c r="C236" s="38" t="s">
        <v>665</v>
      </c>
      <c r="D236" s="16"/>
      <c r="E236" s="33"/>
      <c r="F236" s="38" t="s">
        <v>26</v>
      </c>
      <c r="G236" s="38"/>
      <c r="H236" s="38"/>
      <c r="I236" s="33"/>
      <c r="J236" s="33"/>
      <c r="K236" s="33"/>
      <c r="L236" s="33"/>
      <c r="M236" s="33"/>
    </row>
  </sheetData>
  <mergeCells count="91">
    <mergeCell ref="A20:AI20"/>
    <mergeCell ref="A32:H32"/>
    <mergeCell ref="A33:H33"/>
    <mergeCell ref="A4:C4"/>
    <mergeCell ref="I4:N4"/>
    <mergeCell ref="J17:J18"/>
    <mergeCell ref="L17:L18"/>
    <mergeCell ref="N17:N18"/>
    <mergeCell ref="A15:A18"/>
    <mergeCell ref="D15:D18"/>
    <mergeCell ref="H12:N12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34:H34"/>
    <mergeCell ref="A35:H35"/>
    <mergeCell ref="A127:H127"/>
    <mergeCell ref="A37:AI37"/>
    <mergeCell ref="A64:H64"/>
    <mergeCell ref="A65:H65"/>
    <mergeCell ref="A66:H66"/>
    <mergeCell ref="A67:H67"/>
    <mergeCell ref="A68:H68"/>
    <mergeCell ref="A69:H69"/>
    <mergeCell ref="A70:H70"/>
    <mergeCell ref="A71:H71"/>
    <mergeCell ref="A72:AI72"/>
    <mergeCell ref="A126:H126"/>
    <mergeCell ref="A36:H36"/>
    <mergeCell ref="A158:H158"/>
    <mergeCell ref="A128:H128"/>
    <mergeCell ref="A129:H129"/>
    <mergeCell ref="A130:H130"/>
    <mergeCell ref="A131:H131"/>
    <mergeCell ref="A132:H132"/>
    <mergeCell ref="A133:H133"/>
    <mergeCell ref="A134:AI134"/>
    <mergeCell ref="A154:H154"/>
    <mergeCell ref="A155:H155"/>
    <mergeCell ref="A156:H156"/>
    <mergeCell ref="A157:H157"/>
    <mergeCell ref="A184:H184"/>
    <mergeCell ref="A159:H159"/>
    <mergeCell ref="A160:H160"/>
    <mergeCell ref="A161:H161"/>
    <mergeCell ref="A162:AI162"/>
    <mergeCell ref="A177:H177"/>
    <mergeCell ref="A178:H178"/>
    <mergeCell ref="A179:H179"/>
    <mergeCell ref="A180:H180"/>
    <mergeCell ref="A181:H181"/>
    <mergeCell ref="A182:H182"/>
    <mergeCell ref="A183:H183"/>
    <mergeCell ref="A216:H216"/>
    <mergeCell ref="A185:AI185"/>
    <mergeCell ref="A203:H203"/>
    <mergeCell ref="A204:H204"/>
    <mergeCell ref="A205:H205"/>
    <mergeCell ref="A206:H206"/>
    <mergeCell ref="A207:H207"/>
    <mergeCell ref="A208:H208"/>
    <mergeCell ref="A209:H209"/>
    <mergeCell ref="A210:H210"/>
    <mergeCell ref="A211:AI211"/>
    <mergeCell ref="A215:H215"/>
    <mergeCell ref="A228:H228"/>
    <mergeCell ref="A217:H217"/>
    <mergeCell ref="A218:H218"/>
    <mergeCell ref="A219:H219"/>
    <mergeCell ref="A220:H220"/>
    <mergeCell ref="A221:H221"/>
    <mergeCell ref="A222:H222"/>
    <mergeCell ref="A223:H223"/>
    <mergeCell ref="A224:H224"/>
    <mergeCell ref="A225:H225"/>
    <mergeCell ref="A226:H226"/>
    <mergeCell ref="A227:H227"/>
    <mergeCell ref="A229:H229"/>
    <mergeCell ref="A230:H230"/>
    <mergeCell ref="A231:H231"/>
    <mergeCell ref="A232:H232"/>
    <mergeCell ref="A233:H233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2016-06-23T07:15:35Z</cp:lastPrinted>
  <dcterms:created xsi:type="dcterms:W3CDTF">2003-01-28T12:33:10Z</dcterms:created>
  <dcterms:modified xsi:type="dcterms:W3CDTF">2016-06-23T07:50:00Z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